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2" documentId="8_{B7A2AB17-1B6A-47D5-85BD-7D7DA7B82F38}" xr6:coauthVersionLast="47" xr6:coauthVersionMax="47" xr10:uidLastSave="{7AAC7B94-9AFC-4F81-BBF9-522ADDC07275}"/>
  <bookViews>
    <workbookView xWindow="-120" yWindow="-120" windowWidth="29040" windowHeight="15840" tabRatio="621" activeTab="3" xr2:uid="{00000000-000D-0000-FFFF-FFFF00000000}"/>
  </bookViews>
  <sheets>
    <sheet name="CoverSheet" sheetId="100" r:id="rId1"/>
    <sheet name="TOC" sheetId="4" r:id="rId2"/>
    <sheet name="Instructions" sheetId="101"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Tot)" sheetId="102" r:id="rId9"/>
    <sheet name="S12d.Reliability Forecast (Dun)" sheetId="91" r:id="rId10"/>
    <sheet name="S12d.Reliability Forecast (CO)" sheetId="103" r:id="rId11"/>
    <sheet name="S12d.Reliability Forecast (Q)" sheetId="104" r:id="rId12"/>
    <sheet name="S13.AMMAT" sheetId="58" r:id="rId13"/>
  </sheets>
  <definedNames>
    <definedName name="dd_accuracy" localSheetId="0">#REF!</definedName>
    <definedName name="dd_accuracy" localSheetId="2">#REF!</definedName>
    <definedName name="dd_accuracy">#REF!</definedName>
    <definedName name="dd_AssetCategory" localSheetId="0">#REF!</definedName>
    <definedName name="dd_AssetCategory" localSheetId="2">#REF!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Forecast'!$A$1:$S$195</definedName>
    <definedName name="_xlnm.Print_Area" localSheetId="4">'S11b.Opex Forecast'!$A$1:$T$56</definedName>
    <definedName name="_xlnm.Print_Area" localSheetId="7">'S12c.Demand Forecast'!$A$1:$N$50</definedName>
    <definedName name="_xlnm.Print_Area" localSheetId="12">'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10">'S12d.Reliability Forecast (CO)'!$1:$6</definedName>
    <definedName name="_xlnm.Print_Titles" localSheetId="9">'S12d.Reliability Forecast (Dun)'!$1:$6</definedName>
    <definedName name="_xlnm.Print_Titles" localSheetId="11">'S12d.Reliability Forecast (Q)'!$1:$6</definedName>
    <definedName name="_xlnm.Print_Titles" localSheetId="8">'S12d.Reliability Forecast (Tot)'!$1:$6</definedName>
    <definedName name="_xlnm.Print_Titles" localSheetId="12">'S13.AMMAT'!$1:$6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Forecast'!$A$1:$S$195</definedName>
    <definedName name="Z_21F2E024_704F_4E93_AC63_213755ECFFE0_.wvu.PrintArea" localSheetId="4" hidden="1">'S11b.Opex Forecast'!$A$1:$T$56</definedName>
    <definedName name="Z_21F2E024_704F_4E93_AC63_213755ECFFE0_.wvu.PrintArea" localSheetId="5" hidden="1">'S12a.Asset Condition'!$A$1:$O$65</definedName>
    <definedName name="Z_21F2E024_704F_4E93_AC63_213755ECFFE0_.wvu.PrintArea" localSheetId="6" hidden="1">'S12b.Capacity Forecast'!$A$1:$O$54</definedName>
    <definedName name="Z_21F2E024_704F_4E93_AC63_213755ECFFE0_.wvu.PrintArea" localSheetId="7" hidden="1">'S12c.Demand Forecast'!$A$1:$N$50</definedName>
    <definedName name="Z_21F2E024_704F_4E93_AC63_213755ECFFE0_.wvu.PrintArea" localSheetId="12"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04" l="1"/>
  <c r="L9" i="104"/>
  <c r="K9" i="104"/>
  <c r="J9" i="104"/>
  <c r="I9" i="104"/>
  <c r="H9" i="104"/>
  <c r="G9" i="104"/>
  <c r="K3" i="104"/>
  <c r="K2" i="104"/>
  <c r="M9" i="103"/>
  <c r="L9" i="103"/>
  <c r="K9" i="103"/>
  <c r="J9" i="103"/>
  <c r="I9" i="103"/>
  <c r="H9" i="103"/>
  <c r="G9" i="103"/>
  <c r="K3" i="103"/>
  <c r="K2" i="103"/>
  <c r="M9" i="102"/>
  <c r="L9" i="102"/>
  <c r="K9" i="102"/>
  <c r="J9" i="102"/>
  <c r="I9" i="102"/>
  <c r="H9" i="102"/>
  <c r="G9" i="102"/>
  <c r="K3" i="102"/>
  <c r="K2" i="102"/>
  <c r="L52" i="56"/>
  <c r="L51" i="56"/>
  <c r="L50" i="56"/>
  <c r="L49" i="56"/>
  <c r="L48" i="56"/>
  <c r="L47" i="56"/>
  <c r="L46" i="56"/>
  <c r="L45" i="56"/>
  <c r="L44" i="56"/>
  <c r="L43" i="56"/>
  <c r="L41" i="56"/>
  <c r="L40" i="56"/>
  <c r="L39" i="56"/>
  <c r="L38" i="56"/>
  <c r="L37" i="56"/>
  <c r="L36" i="56"/>
  <c r="L33" i="56"/>
  <c r="L32" i="56"/>
  <c r="L31" i="56"/>
  <c r="L27" i="56"/>
  <c r="L25" i="56"/>
  <c r="L22" i="56"/>
  <c r="L19" i="56"/>
  <c r="L9" i="56"/>
  <c r="J34" i="56"/>
  <c r="J35" i="56"/>
  <c r="J36" i="56"/>
  <c r="J37" i="56"/>
  <c r="J38" i="56"/>
  <c r="J39" i="56"/>
  <c r="J40" i="56"/>
  <c r="J41" i="56"/>
  <c r="J28" i="56"/>
  <c r="J29" i="56"/>
  <c r="J30" i="56"/>
  <c r="J31" i="56"/>
  <c r="J32" i="56"/>
  <c r="J33" i="56"/>
  <c r="J42" i="56"/>
  <c r="J43" i="56"/>
  <c r="J44" i="56"/>
  <c r="J45" i="56"/>
  <c r="J46" i="56"/>
  <c r="J47" i="56"/>
  <c r="J50" i="56"/>
  <c r="R86" i="58" l="1"/>
  <c r="H86" i="58"/>
  <c r="R74" i="58"/>
  <c r="H74" i="58"/>
  <c r="R62" i="58"/>
  <c r="H62" i="58"/>
  <c r="R50" i="58"/>
  <c r="H50" i="58"/>
  <c r="R39" i="58"/>
  <c r="H39" i="58"/>
  <c r="R27" i="58"/>
  <c r="H27" i="58"/>
  <c r="R15" i="58"/>
  <c r="H15" i="58"/>
  <c r="R85" i="58"/>
  <c r="H85" i="58"/>
  <c r="R73" i="58"/>
  <c r="H73" i="58"/>
  <c r="R61" i="58"/>
  <c r="H61" i="58"/>
  <c r="R49" i="58"/>
  <c r="H49" i="58"/>
  <c r="R38" i="58"/>
  <c r="H38" i="58"/>
  <c r="R26" i="58"/>
  <c r="H26" i="58"/>
  <c r="R14" i="58"/>
  <c r="H14" i="58"/>
  <c r="R2" i="58" l="1"/>
  <c r="R3" i="58"/>
  <c r="H3" i="58"/>
  <c r="K3" i="91"/>
  <c r="K3" i="99"/>
  <c r="N3" i="56"/>
  <c r="K3" i="75"/>
  <c r="Q3" i="88"/>
  <c r="P3" i="44"/>
  <c r="H2" i="58" l="1"/>
  <c r="N2" i="56"/>
  <c r="K2" i="91"/>
  <c r="K2" i="99"/>
  <c r="K2" i="75"/>
  <c r="Q2" i="88"/>
  <c r="P2" i="44"/>
  <c r="M171" i="44" l="1"/>
  <c r="L171" i="44"/>
  <c r="K171" i="44"/>
  <c r="J171" i="44"/>
  <c r="I171" i="44"/>
  <c r="H171" i="44"/>
  <c r="G171" i="44"/>
  <c r="M142" i="44"/>
  <c r="L142" i="44"/>
  <c r="K142" i="44"/>
  <c r="J142" i="44"/>
  <c r="I142" i="44"/>
  <c r="H142" i="44"/>
  <c r="G142" i="44"/>
  <c r="M127" i="44"/>
  <c r="L127" i="44"/>
  <c r="K127" i="44"/>
  <c r="J127" i="44"/>
  <c r="I127" i="44"/>
  <c r="H127" i="44"/>
  <c r="G127" i="44"/>
  <c r="M112" i="44"/>
  <c r="L112" i="44"/>
  <c r="K112" i="44"/>
  <c r="J112" i="44"/>
  <c r="I112" i="44"/>
  <c r="H112" i="44"/>
  <c r="G112" i="44"/>
  <c r="H87" i="58" l="1"/>
  <c r="R87" i="58"/>
  <c r="R75" i="58"/>
  <c r="H75" i="58"/>
  <c r="H63" i="58"/>
  <c r="R63" i="58"/>
  <c r="R51" i="58"/>
  <c r="H51" i="58"/>
  <c r="H40" i="58"/>
  <c r="R40" i="58"/>
  <c r="R28" i="58"/>
  <c r="H28" i="58"/>
  <c r="H16" i="58"/>
  <c r="R16" i="58"/>
  <c r="R4" i="58"/>
  <c r="J9" i="56"/>
  <c r="M157" i="44"/>
  <c r="L157" i="44"/>
  <c r="K157" i="44"/>
  <c r="J157" i="44"/>
  <c r="I157" i="44"/>
  <c r="H157" i="44"/>
  <c r="G157" i="44"/>
  <c r="G98" i="44"/>
  <c r="N8" i="44"/>
  <c r="N18" i="44"/>
  <c r="N19" i="44" s="1"/>
  <c r="N31" i="44"/>
  <c r="N41" i="44"/>
  <c r="N42" i="44" s="1"/>
  <c r="N44" i="44" s="1"/>
  <c r="N54" i="44"/>
  <c r="N56" i="44"/>
  <c r="N57" i="44"/>
  <c r="N58" i="44"/>
  <c r="N59" i="44"/>
  <c r="N61" i="44"/>
  <c r="N62" i="44"/>
  <c r="N63" i="44"/>
  <c r="N66" i="44"/>
  <c r="M98" i="44"/>
  <c r="L98" i="44"/>
  <c r="K98" i="44"/>
  <c r="J98" i="44"/>
  <c r="I98" i="44"/>
  <c r="H98"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74" i="44"/>
  <c r="S42" i="88"/>
  <c r="R42" i="88"/>
  <c r="Q42" i="88"/>
  <c r="P42" i="88"/>
  <c r="O42" i="88"/>
  <c r="N42" i="88"/>
  <c r="M42" i="88"/>
  <c r="L42" i="88"/>
  <c r="K42" i="88"/>
  <c r="J42" i="88"/>
  <c r="I42" i="88"/>
  <c r="H42" i="88"/>
  <c r="S20" i="88"/>
  <c r="R20" i="88"/>
  <c r="Q20" i="88"/>
  <c r="P20" i="88"/>
  <c r="O20" i="88"/>
  <c r="N20" i="88"/>
  <c r="M20" i="88"/>
  <c r="L20" i="88"/>
  <c r="K20" i="88"/>
  <c r="J20" i="88"/>
  <c r="I20" i="88"/>
  <c r="H20" i="88"/>
  <c r="R54" i="44"/>
  <c r="Q54" i="44"/>
  <c r="P54" i="44"/>
  <c r="O54" i="44"/>
  <c r="M54" i="44"/>
  <c r="L54" i="44"/>
  <c r="K54" i="44"/>
  <c r="J54" i="44"/>
  <c r="I54" i="44"/>
  <c r="H54" i="44"/>
  <c r="G54" i="44"/>
  <c r="R31" i="44"/>
  <c r="Q31" i="44"/>
  <c r="P31" i="44"/>
  <c r="O31" i="44"/>
  <c r="M31" i="44"/>
  <c r="L31" i="44"/>
  <c r="K31" i="44"/>
  <c r="J31" i="44"/>
  <c r="I31" i="44"/>
  <c r="H31" i="44"/>
  <c r="G31" i="44"/>
  <c r="M74" i="44"/>
  <c r="L74" i="44"/>
  <c r="K74" i="44"/>
  <c r="J74" i="44"/>
  <c r="I74" i="44"/>
  <c r="H74" i="44"/>
  <c r="R8" i="44"/>
  <c r="Q8" i="44"/>
  <c r="P8" i="44"/>
  <c r="O8" i="44"/>
  <c r="M8" i="44"/>
  <c r="L8" i="44"/>
  <c r="K8" i="44"/>
  <c r="J8" i="44"/>
  <c r="I8" i="44"/>
  <c r="H8" i="44"/>
  <c r="S8" i="88"/>
  <c r="R8" i="88"/>
  <c r="Q8" i="88"/>
  <c r="P8" i="88"/>
  <c r="O8" i="88"/>
  <c r="N8" i="88"/>
  <c r="M8" i="88"/>
  <c r="L8" i="88"/>
  <c r="K8" i="88"/>
  <c r="J8" i="88"/>
  <c r="I8" i="88"/>
  <c r="M33" i="99"/>
  <c r="L33" i="99"/>
  <c r="K33" i="99"/>
  <c r="J33" i="99"/>
  <c r="I33" i="99"/>
  <c r="H33" i="99"/>
  <c r="M10" i="99"/>
  <c r="L10" i="99"/>
  <c r="K10" i="99"/>
  <c r="J10" i="99"/>
  <c r="I10" i="99"/>
  <c r="H10" i="99"/>
  <c r="M9" i="91"/>
  <c r="L9" i="91"/>
  <c r="K9" i="91"/>
  <c r="J9" i="91"/>
  <c r="I9" i="91"/>
  <c r="H9" i="91"/>
  <c r="J11" i="56"/>
  <c r="J12" i="56"/>
  <c r="J13" i="56"/>
  <c r="J14" i="56"/>
  <c r="J15" i="56"/>
  <c r="J16" i="56"/>
  <c r="J17" i="56"/>
  <c r="J18" i="56"/>
  <c r="J19" i="56"/>
  <c r="J20" i="56"/>
  <c r="J21" i="56"/>
  <c r="J22" i="56"/>
  <c r="J23" i="56"/>
  <c r="J24" i="56"/>
  <c r="J25" i="56"/>
  <c r="J26" i="56"/>
  <c r="J27" i="56"/>
  <c r="J52" i="56"/>
  <c r="J10" i="56"/>
  <c r="G8" i="44"/>
  <c r="G9" i="91"/>
  <c r="G33" i="99"/>
  <c r="G10" i="99"/>
  <c r="H8" i="88"/>
  <c r="M23" i="99"/>
  <c r="H44" i="99"/>
  <c r="H46" i="99" s="1"/>
  <c r="M36" i="99"/>
  <c r="M38" i="99" s="1"/>
  <c r="L36" i="99"/>
  <c r="L38" i="99" s="1"/>
  <c r="K36" i="99"/>
  <c r="K38" i="99" s="1"/>
  <c r="J36" i="99"/>
  <c r="J38" i="99" s="1"/>
  <c r="I36" i="99"/>
  <c r="I38" i="99" s="1"/>
  <c r="H36" i="99"/>
  <c r="H38" i="99" s="1"/>
  <c r="H48" i="99" s="1"/>
  <c r="L23" i="99"/>
  <c r="K23" i="99"/>
  <c r="J23" i="99"/>
  <c r="I23" i="99"/>
  <c r="H23" i="99"/>
  <c r="I50" i="88"/>
  <c r="I49" i="88"/>
  <c r="I47" i="88"/>
  <c r="I46" i="88"/>
  <c r="I45" i="88"/>
  <c r="I44" i="88"/>
  <c r="H192" i="44"/>
  <c r="H182" i="44"/>
  <c r="H166" i="44"/>
  <c r="H168" i="44" s="1"/>
  <c r="H152" i="44"/>
  <c r="H39" i="44" s="1"/>
  <c r="H137" i="44"/>
  <c r="H38" i="44" s="1"/>
  <c r="H61" i="44" s="1"/>
  <c r="H122" i="44"/>
  <c r="H36" i="44" s="1"/>
  <c r="H59" i="44" s="1"/>
  <c r="H107" i="44"/>
  <c r="H35" i="44" s="1"/>
  <c r="H58" i="44" s="1"/>
  <c r="H93" i="44"/>
  <c r="H95" i="44" s="1"/>
  <c r="I82" i="44"/>
  <c r="I33" i="44" s="1"/>
  <c r="I56" i="44" s="1"/>
  <c r="J82" i="44"/>
  <c r="J84" i="44" s="1"/>
  <c r="K82" i="44"/>
  <c r="K33" i="44" s="1"/>
  <c r="L82" i="44"/>
  <c r="L84" i="44" s="1"/>
  <c r="M82" i="44"/>
  <c r="M33" i="44" s="1"/>
  <c r="M56" i="44" s="1"/>
  <c r="H82" i="44"/>
  <c r="H33" i="44" s="1"/>
  <c r="H56"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M44" i="99"/>
  <c r="L44" i="99"/>
  <c r="K44" i="99"/>
  <c r="J44" i="99"/>
  <c r="I44" i="99"/>
  <c r="I46" i="99" s="1"/>
  <c r="S50" i="88"/>
  <c r="R50" i="88"/>
  <c r="Q50" i="88"/>
  <c r="P50" i="88"/>
  <c r="O50" i="88"/>
  <c r="N50" i="88"/>
  <c r="M50" i="88"/>
  <c r="L50" i="88"/>
  <c r="K50" i="88"/>
  <c r="J50" i="88"/>
  <c r="S49" i="88"/>
  <c r="R49" i="88"/>
  <c r="Q49" i="88"/>
  <c r="P49" i="88"/>
  <c r="O49" i="88"/>
  <c r="N49" i="88"/>
  <c r="M49" i="88"/>
  <c r="L49" i="88"/>
  <c r="K49" i="88"/>
  <c r="J49" i="88"/>
  <c r="S47" i="88"/>
  <c r="R47" i="88"/>
  <c r="Q47" i="88"/>
  <c r="P47" i="88"/>
  <c r="O47" i="88"/>
  <c r="N47" i="88"/>
  <c r="M47" i="88"/>
  <c r="L47" i="88"/>
  <c r="K47" i="88"/>
  <c r="J47" i="88"/>
  <c r="S46" i="88"/>
  <c r="R46" i="88"/>
  <c r="Q46" i="88"/>
  <c r="P46" i="88"/>
  <c r="O46" i="88"/>
  <c r="N46" i="88"/>
  <c r="M46" i="88"/>
  <c r="L46" i="88"/>
  <c r="K46" i="88"/>
  <c r="J46" i="88"/>
  <c r="S45" i="88"/>
  <c r="R45" i="88"/>
  <c r="Q45" i="88"/>
  <c r="P45" i="88"/>
  <c r="O45" i="88"/>
  <c r="N45" i="88"/>
  <c r="M45" i="88"/>
  <c r="L45" i="88"/>
  <c r="K45" i="88"/>
  <c r="J45" i="88"/>
  <c r="S44" i="88"/>
  <c r="R44" i="88"/>
  <c r="Q44" i="88"/>
  <c r="P44" i="88"/>
  <c r="O44" i="88"/>
  <c r="N44" i="88"/>
  <c r="M44" i="88"/>
  <c r="L44" i="88"/>
  <c r="K44" i="88"/>
  <c r="J44" i="88"/>
  <c r="I122" i="44"/>
  <c r="I124" i="44" s="1"/>
  <c r="J122" i="44"/>
  <c r="J124" i="44" s="1"/>
  <c r="K122" i="44"/>
  <c r="K124" i="44" s="1"/>
  <c r="L122" i="44"/>
  <c r="L124" i="44" s="1"/>
  <c r="M122" i="44"/>
  <c r="M36" i="44" s="1"/>
  <c r="M59" i="44" s="1"/>
  <c r="M192" i="44"/>
  <c r="L192" i="44"/>
  <c r="K192" i="44"/>
  <c r="J192" i="44"/>
  <c r="I192" i="44"/>
  <c r="M166" i="44"/>
  <c r="M168" i="44" s="1"/>
  <c r="L166" i="44"/>
  <c r="L168" i="44" s="1"/>
  <c r="K166" i="44"/>
  <c r="K168" i="44" s="1"/>
  <c r="J166" i="44"/>
  <c r="J168" i="44" s="1"/>
  <c r="I166" i="44"/>
  <c r="I168" i="44" s="1"/>
  <c r="M152" i="44"/>
  <c r="M39" i="44" s="1"/>
  <c r="L152" i="44"/>
  <c r="L39" i="44" s="1"/>
  <c r="K152" i="44"/>
  <c r="K39" i="44" s="1"/>
  <c r="J152" i="44"/>
  <c r="J154" i="44" s="1"/>
  <c r="I152" i="44"/>
  <c r="I39" i="44" s="1"/>
  <c r="I62" i="44" s="1"/>
  <c r="M137" i="44"/>
  <c r="M38" i="44" s="1"/>
  <c r="M61" i="44" s="1"/>
  <c r="L137" i="44"/>
  <c r="L139" i="44" s="1"/>
  <c r="K137" i="44"/>
  <c r="K38" i="44" s="1"/>
  <c r="K61" i="44" s="1"/>
  <c r="J137" i="44"/>
  <c r="J38" i="44" s="1"/>
  <c r="I137" i="44"/>
  <c r="I38" i="44" s="1"/>
  <c r="M182" i="44"/>
  <c r="L182" i="44"/>
  <c r="K182" i="44"/>
  <c r="J182" i="44"/>
  <c r="I182" i="44"/>
  <c r="O41" i="44"/>
  <c r="O42" i="44" s="1"/>
  <c r="O44" i="44" s="1"/>
  <c r="P41" i="44"/>
  <c r="P42" i="44" s="1"/>
  <c r="P44" i="44" s="1"/>
  <c r="Q41" i="44"/>
  <c r="Q42" i="44" s="1"/>
  <c r="R41" i="44"/>
  <c r="R42" i="44" s="1"/>
  <c r="R66" i="44"/>
  <c r="Q66" i="44"/>
  <c r="P66" i="44"/>
  <c r="O66" i="44"/>
  <c r="R63" i="44"/>
  <c r="Q63" i="44"/>
  <c r="P63" i="44"/>
  <c r="O63" i="44"/>
  <c r="R62" i="44"/>
  <c r="Q62" i="44"/>
  <c r="P62" i="44"/>
  <c r="O62" i="44"/>
  <c r="R61" i="44"/>
  <c r="Q61" i="44"/>
  <c r="P61" i="44"/>
  <c r="O61" i="44"/>
  <c r="R59" i="44"/>
  <c r="Q59" i="44"/>
  <c r="P59" i="44"/>
  <c r="O59" i="44"/>
  <c r="R58" i="44"/>
  <c r="Q58" i="44"/>
  <c r="P58" i="44"/>
  <c r="O58" i="44"/>
  <c r="R57" i="44"/>
  <c r="Q57" i="44"/>
  <c r="P57" i="44"/>
  <c r="O57" i="44"/>
  <c r="O56" i="44"/>
  <c r="P56" i="44"/>
  <c r="Q56" i="44"/>
  <c r="R56" i="44"/>
  <c r="M107" i="44"/>
  <c r="M35" i="44" s="1"/>
  <c r="M58" i="44" s="1"/>
  <c r="L107" i="44"/>
  <c r="L35" i="44" s="1"/>
  <c r="L58" i="44" s="1"/>
  <c r="K107" i="44"/>
  <c r="K35" i="44" s="1"/>
  <c r="K58" i="44" s="1"/>
  <c r="J107" i="44"/>
  <c r="J35" i="44" s="1"/>
  <c r="I107" i="44"/>
  <c r="I109" i="44" s="1"/>
  <c r="M93" i="44"/>
  <c r="M95" i="44" s="1"/>
  <c r="L93" i="44"/>
  <c r="L34" i="44" s="1"/>
  <c r="K93" i="44"/>
  <c r="K34" i="44" s="1"/>
  <c r="K57" i="44" s="1"/>
  <c r="J93" i="44"/>
  <c r="J95" i="44" s="1"/>
  <c r="I93" i="44"/>
  <c r="I34" i="44" s="1"/>
  <c r="I57" i="44" s="1"/>
  <c r="K48" i="99" l="1"/>
  <c r="L48" i="99"/>
  <c r="M48" i="99"/>
  <c r="I48" i="99"/>
  <c r="J48" i="99"/>
  <c r="I84" i="44"/>
  <c r="H154" i="44"/>
  <c r="N64" i="44"/>
  <c r="R48" i="88"/>
  <c r="J48" i="88"/>
  <c r="M84" i="44"/>
  <c r="K51" i="88"/>
  <c r="H109" i="44"/>
  <c r="J30" i="88"/>
  <c r="S48" i="88"/>
  <c r="M46" i="99"/>
  <c r="M49" i="99" s="1"/>
  <c r="I49" i="99"/>
  <c r="M139" i="44"/>
  <c r="L33" i="44"/>
  <c r="L56" i="44" s="1"/>
  <c r="H34" i="44"/>
  <c r="H57" i="44" s="1"/>
  <c r="Q18" i="88"/>
  <c r="M18" i="88"/>
  <c r="K109" i="44"/>
  <c r="O18" i="88"/>
  <c r="I51" i="88"/>
  <c r="M30" i="88"/>
  <c r="L194" i="44"/>
  <c r="L43" i="44" s="1"/>
  <c r="L66" i="44" s="1"/>
  <c r="K139" i="44"/>
  <c r="R18" i="88"/>
  <c r="J18" i="88"/>
  <c r="M109" i="44"/>
  <c r="P51" i="88"/>
  <c r="N51" i="88"/>
  <c r="L95" i="44"/>
  <c r="L154" i="44"/>
  <c r="J40" i="44"/>
  <c r="J63" i="44" s="1"/>
  <c r="P18" i="88"/>
  <c r="L18" i="88"/>
  <c r="I95" i="44"/>
  <c r="L40" i="44"/>
  <c r="L63" i="44" s="1"/>
  <c r="K95" i="44"/>
  <c r="L36" i="44"/>
  <c r="L59" i="44" s="1"/>
  <c r="N48" i="88"/>
  <c r="K40" i="44"/>
  <c r="K63" i="44" s="1"/>
  <c r="H84" i="44"/>
  <c r="K36" i="44"/>
  <c r="K59" i="44" s="1"/>
  <c r="H40" i="44"/>
  <c r="H63" i="44" s="1"/>
  <c r="J194" i="44"/>
  <c r="J43" i="44" s="1"/>
  <c r="J66" i="44" s="1"/>
  <c r="L38" i="44"/>
  <c r="L61" i="44" s="1"/>
  <c r="H124" i="44"/>
  <c r="R64" i="44"/>
  <c r="M40" i="44"/>
  <c r="M63" i="44" s="1"/>
  <c r="J139" i="44"/>
  <c r="I40" i="44"/>
  <c r="I63" i="44" s="1"/>
  <c r="H139" i="44"/>
  <c r="J34" i="44"/>
  <c r="J57" i="44" s="1"/>
  <c r="J33" i="44"/>
  <c r="J56" i="44" s="1"/>
  <c r="I194" i="44"/>
  <c r="I43" i="44" s="1"/>
  <c r="I66" i="44" s="1"/>
  <c r="M194" i="44"/>
  <c r="M43" i="44" s="1"/>
  <c r="M66" i="44" s="1"/>
  <c r="H194" i="44"/>
  <c r="H43" i="44" s="1"/>
  <c r="H66" i="44" s="1"/>
  <c r="R51" i="88"/>
  <c r="R52" i="88" s="1"/>
  <c r="N30" i="88"/>
  <c r="R30" i="88"/>
  <c r="L48" i="88"/>
  <c r="P48" i="88"/>
  <c r="I18" i="88"/>
  <c r="N18" i="88"/>
  <c r="S18" i="88"/>
  <c r="M48" i="88"/>
  <c r="Q51" i="88"/>
  <c r="J51" i="88"/>
  <c r="K30" i="88"/>
  <c r="K46" i="99"/>
  <c r="K49" i="99" s="1"/>
  <c r="Q64" i="44"/>
  <c r="R19" i="44"/>
  <c r="R21" i="44" s="1"/>
  <c r="R27" i="44" s="1"/>
  <c r="O65" i="44"/>
  <c r="O21" i="44"/>
  <c r="O27" i="44" s="1"/>
  <c r="N21" i="44"/>
  <c r="N67" i="44" s="1"/>
  <c r="N65" i="44"/>
  <c r="K62" i="44"/>
  <c r="I154" i="44"/>
  <c r="M154" i="44"/>
  <c r="P64" i="44"/>
  <c r="J36" i="44"/>
  <c r="J59" i="44" s="1"/>
  <c r="L46" i="99"/>
  <c r="L49" i="99" s="1"/>
  <c r="I36" i="44"/>
  <c r="I59" i="44" s="1"/>
  <c r="K194" i="44"/>
  <c r="K43" i="44" s="1"/>
  <c r="K66" i="44" s="1"/>
  <c r="J39" i="44"/>
  <c r="J62" i="44" s="1"/>
  <c r="M124" i="44"/>
  <c r="K48" i="88"/>
  <c r="S51" i="88"/>
  <c r="Q48" i="88"/>
  <c r="K154" i="44"/>
  <c r="I139" i="44"/>
  <c r="M51" i="88"/>
  <c r="H49" i="99"/>
  <c r="I35" i="44"/>
  <c r="I58" i="44" s="1"/>
  <c r="O64" i="44"/>
  <c r="L109" i="44"/>
  <c r="K18" i="88"/>
  <c r="J46" i="99"/>
  <c r="J49" i="99" s="1"/>
  <c r="K84" i="44"/>
  <c r="O51" i="88"/>
  <c r="I48" i="88"/>
  <c r="O48" i="88"/>
  <c r="S30" i="88"/>
  <c r="L30" i="88"/>
  <c r="P30" i="88"/>
  <c r="P21" i="44"/>
  <c r="P65" i="44"/>
  <c r="J58" i="44"/>
  <c r="R44" i="44"/>
  <c r="M62" i="44"/>
  <c r="Q27" i="44"/>
  <c r="Q44" i="44"/>
  <c r="Q67" i="44" s="1"/>
  <c r="Q65" i="44"/>
  <c r="I61" i="44"/>
  <c r="K56" i="44"/>
  <c r="H62" i="44"/>
  <c r="L57" i="44"/>
  <c r="J61" i="44"/>
  <c r="L62" i="44"/>
  <c r="J109" i="44"/>
  <c r="M34" i="44"/>
  <c r="I30" i="88"/>
  <c r="O30" i="88"/>
  <c r="Q30" i="88"/>
  <c r="L51" i="88"/>
  <c r="J52" i="88" l="1"/>
  <c r="K52" i="88"/>
  <c r="I52" i="88"/>
  <c r="I41" i="44"/>
  <c r="I42" i="44" s="1"/>
  <c r="S52" i="88"/>
  <c r="P52" i="88"/>
  <c r="Q52" i="88"/>
  <c r="N52" i="88"/>
  <c r="L52" i="88"/>
  <c r="M52" i="88"/>
  <c r="R67" i="44"/>
  <c r="K41" i="44"/>
  <c r="K64" i="44" s="1"/>
  <c r="L41" i="44"/>
  <c r="L64" i="44" s="1"/>
  <c r="H41" i="44"/>
  <c r="H64" i="44" s="1"/>
  <c r="O52" i="88"/>
  <c r="J41" i="44"/>
  <c r="J64" i="44" s="1"/>
  <c r="M41" i="44"/>
  <c r="M64" i="44" s="1"/>
  <c r="R65" i="44"/>
  <c r="O67" i="44"/>
  <c r="N27" i="44"/>
  <c r="M57" i="44"/>
  <c r="P67" i="44"/>
  <c r="P27" i="44"/>
  <c r="I64" i="44" l="1"/>
  <c r="K42" i="44"/>
  <c r="K65" i="44" s="1"/>
  <c r="J42" i="44"/>
  <c r="H42" i="44"/>
  <c r="H44" i="44" s="1"/>
  <c r="H67" i="44" s="1"/>
  <c r="M42" i="44"/>
  <c r="M65" i="44" s="1"/>
  <c r="L42" i="44"/>
  <c r="L65" i="44" s="1"/>
  <c r="I65" i="44"/>
  <c r="I44" i="44"/>
  <c r="I67" i="44" s="1"/>
  <c r="K44" i="44" l="1"/>
  <c r="K67" i="44" s="1"/>
  <c r="L44" i="44"/>
  <c r="L67" i="44" s="1"/>
  <c r="H65" i="44"/>
  <c r="J65" i="44"/>
  <c r="J44" i="44"/>
  <c r="J67" i="44" s="1"/>
  <c r="M44" i="44"/>
  <c r="M67" i="44" s="1"/>
</calcChain>
</file>

<file path=xl/sharedStrings.xml><?xml version="1.0" encoding="utf-8"?>
<sst xmlns="http://schemas.openxmlformats.org/spreadsheetml/2006/main" count="1534" uniqueCount="734">
  <si>
    <t>Schedules 11a–13</t>
  </si>
  <si>
    <t>Company Name</t>
  </si>
  <si>
    <t>Disclosure Date</t>
  </si>
  <si>
    <t>AMP Planning Period Start Date (first day)</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</si>
  <si>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</si>
  <si>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</si>
  <si>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</si>
  <si>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</si>
  <si>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</si>
  <si>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</si>
  <si>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</si>
  <si>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</si>
  <si>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</si>
  <si>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</si>
  <si>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</si>
  <si>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</si>
  <si>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</si>
  <si>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</si>
  <si>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</si>
  <si>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</si>
  <si>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</si>
  <si>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</si>
  <si>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</si>
  <si>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</si>
  <si>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</si>
  <si>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</si>
  <si>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</si>
  <si>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</si>
  <si>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</si>
  <si>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</si>
  <si>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</si>
  <si>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</si>
  <si>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Schedule 12a columns G to K contains conditional formatting. The cells will change colour if the row totals do not add to 100%.</t>
  </si>
  <si>
    <t>Inserting Additional Rows</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</si>
  <si>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</si>
  <si>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</si>
  <si>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</si>
  <si>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</si>
  <si>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</si>
  <si>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</si>
  <si>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</si>
  <si>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</si>
  <si>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</si>
  <si>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</si>
  <si>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</si>
  <si>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</si>
  <si>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</si>
  <si>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</si>
  <si>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</si>
  <si>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</si>
  <si>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</si>
  <si>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</si>
  <si>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</si>
  <si>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</si>
  <si>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</si>
  <si>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</si>
  <si>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</si>
  <si>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</si>
  <si>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</si>
  <si>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</si>
  <si>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</si>
  <si>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</si>
  <si>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</si>
  <si>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</si>
  <si>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</si>
  <si>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</si>
  <si>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</si>
  <si>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</si>
  <si>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</si>
  <si>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</si>
  <si>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</si>
  <si>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</si>
  <si>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</si>
  <si>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</si>
  <si>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</si>
  <si>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</si>
  <si>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</si>
  <si>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</si>
  <si>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</si>
  <si>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</si>
  <si>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</si>
  <si>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</si>
  <si>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</si>
  <si>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</si>
  <si>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</si>
  <si>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</si>
  <si>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</si>
  <si>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</si>
  <si>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</si>
  <si>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</si>
  <si>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</si>
  <si>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</si>
  <si>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</si>
  <si>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</si>
  <si>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</si>
  <si>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</si>
  <si>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</si>
  <si>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</si>
  <si>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</si>
  <si>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</si>
  <si>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</si>
  <si>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</si>
  <si>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</si>
  <si>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</si>
  <si>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</si>
  <si>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</si>
  <si>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</si>
  <si>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</si>
  <si>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</si>
  <si>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</si>
  <si>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</si>
  <si>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</si>
  <si>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</si>
  <si>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</si>
  <si>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</si>
  <si>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</si>
  <si>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</si>
  <si>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</si>
  <si>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</si>
  <si>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</si>
  <si>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</si>
  <si>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</si>
  <si>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</si>
  <si>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</si>
  <si>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</si>
  <si>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</si>
  <si>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</si>
  <si>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</si>
  <si>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</si>
  <si>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</si>
  <si>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</si>
  <si>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</si>
  <si>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</si>
  <si>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</si>
  <si>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</si>
  <si>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</si>
  <si>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</si>
  <si>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</si>
  <si>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</si>
  <si>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</si>
  <si>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</si>
  <si>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</si>
  <si>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</si>
  <si>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</si>
  <si>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</si>
  <si>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</si>
  <si>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</si>
  <si>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</si>
  <si>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</si>
  <si>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</si>
  <si>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</si>
  <si>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</si>
  <si>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</si>
  <si>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</si>
  <si>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</si>
  <si>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</si>
  <si>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</si>
  <si>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</si>
  <si>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</si>
  <si>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</si>
  <si>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</si>
  <si>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</si>
  <si>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</si>
  <si>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</si>
  <si>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</si>
  <si>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</si>
  <si>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</si>
  <si>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</si>
  <si>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</si>
  <si>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</si>
  <si>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</si>
  <si>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</si>
  <si>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</si>
  <si>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</si>
  <si>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</si>
  <si>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</si>
  <si>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</si>
  <si>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</si>
  <si>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</si>
  <si>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</si>
  <si>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</si>
  <si>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</si>
  <si>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</si>
  <si>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</si>
  <si>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</si>
  <si>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</si>
  <si>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</si>
  <si>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</si>
  <si>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</si>
  <si>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</si>
  <si>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</si>
  <si>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</si>
  <si>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</si>
  <si>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</si>
  <si>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</si>
  <si>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</si>
  <si>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</si>
  <si>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</si>
  <si>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</si>
  <si>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</si>
  <si>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</si>
  <si>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</si>
  <si>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</si>
  <si>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</si>
  <si>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</si>
  <si>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</si>
  <si>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</si>
  <si>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</si>
  <si>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</si>
  <si>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</si>
  <si>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</si>
  <si>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</si>
  <si>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</si>
  <si>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</si>
  <si>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</si>
  <si>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</si>
  <si>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</si>
  <si>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</si>
  <si>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</si>
  <si>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</si>
  <si>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</si>
  <si>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</si>
  <si>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</si>
  <si>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</si>
  <si>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</si>
  <si>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</si>
  <si>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</si>
  <si>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</si>
  <si>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</si>
  <si>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</si>
  <si>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</si>
  <si>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</si>
  <si>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</si>
  <si>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</si>
  <si>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</si>
  <si>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</si>
  <si>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</si>
  <si>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</si>
  <si>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</si>
  <si>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</si>
  <si>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</si>
  <si>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</si>
  <si>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</si>
  <si>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</si>
  <si>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</si>
  <si>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</si>
  <si>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</si>
  <si>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</si>
  <si>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</si>
  <si>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</si>
  <si>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</si>
  <si>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</si>
  <si>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</si>
  <si>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</si>
  <si>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</si>
  <si>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</si>
  <si>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</si>
  <si>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</si>
  <si>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</si>
  <si>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</si>
  <si>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</si>
  <si>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12b(i): System Growth - Zone Substations</t>
  </si>
  <si>
    <t>Existing Zone Substations</t>
  </si>
  <si>
    <t>Current Peak Load
(MVA)</t>
  </si>
  <si>
    <t>Installed Firm Capacity
(MVA)</t>
  </si>
  <si>
    <t>Security of Supply Classification
(type)</t>
  </si>
  <si>
    <t>Transfer Capacity
(MVA)</t>
  </si>
  <si>
    <t>Utilisation of Installed Firm Capacity
%</t>
  </si>
  <si>
    <t>Installed Firm Capacity +5 years
(MVA)</t>
  </si>
  <si>
    <t>Utilisation of Installed Firm Capacity + 5yrs
%</t>
  </si>
  <si>
    <t>Installed Firm Capacity 
Constraint +5 years
(cause)</t>
  </si>
  <si>
    <t>Explanation</t>
  </si>
  <si>
    <t>¹  Extend forecast capacity table as necessary to disclose all capacity by each zone substation</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</si>
  <si>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</si>
  <si>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</si>
  <si>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</si>
  <si>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</si>
  <si>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</si>
  <si>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</si>
  <si>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</si>
  <si>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</si>
  <si>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</si>
  <si>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</si>
  <si>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</si>
  <si>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</si>
  <si>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</si>
  <si>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</si>
  <si>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</si>
  <si>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</si>
  <si>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</si>
  <si>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</si>
  <si>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</si>
  <si>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</si>
  <si>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</si>
  <si>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</si>
  <si>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</si>
  <si>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</si>
  <si>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</si>
  <si>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</si>
  <si>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</si>
  <si>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</si>
  <si>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</si>
  <si>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</si>
  <si>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</si>
  <si>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</si>
  <si>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</si>
  <si>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</si>
  <si>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</si>
  <si>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</si>
  <si>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</si>
  <si>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</si>
  <si>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</si>
  <si>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</si>
  <si>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</si>
  <si>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</si>
  <si>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</si>
  <si>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</si>
  <si>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</si>
  <si>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</si>
  <si>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</si>
  <si>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</si>
  <si>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</si>
  <si>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</si>
  <si>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</si>
  <si>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</si>
  <si>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</si>
  <si>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</si>
  <si>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</si>
  <si>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</si>
  <si>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</si>
  <si>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</si>
  <si>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</si>
  <si>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</si>
  <si>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</si>
  <si>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</si>
  <si>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</si>
  <si>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</si>
  <si>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</si>
  <si>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</si>
  <si>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</si>
  <si>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</si>
  <si>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</si>
  <si>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</si>
  <si>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</si>
  <si>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</si>
  <si>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</si>
  <si>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</si>
  <si>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</si>
  <si>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</si>
  <si>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</si>
  <si>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</si>
  <si>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</si>
  <si>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</si>
  <si>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</si>
  <si>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</si>
  <si>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</si>
  <si>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</si>
  <si>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</si>
  <si>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</si>
  <si>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</si>
  <si>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</si>
  <si>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</si>
  <si>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</si>
  <si>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</si>
  <si>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</si>
  <si>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</si>
  <si>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</si>
  <si>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</si>
  <si>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</si>
  <si>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</si>
  <si>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</si>
  <si>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</si>
  <si>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</si>
  <si>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</si>
  <si>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</si>
  <si>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</si>
  <si>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</si>
  <si>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</si>
  <si>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</si>
  <si>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</si>
  <si>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</si>
  <si>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</si>
  <si>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</si>
  <si>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</si>
  <si>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</si>
  <si>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</si>
  <si>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</si>
  <si>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</si>
  <si>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</si>
  <si>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</si>
  <si>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</si>
  <si>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</si>
  <si>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</si>
  <si>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</si>
  <si>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</si>
  <si>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</si>
  <si>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</si>
  <si>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</si>
  <si>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</si>
  <si>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</si>
  <si>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</si>
  <si>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</si>
  <si>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</si>
  <si>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</si>
  <si>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</si>
  <si>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</si>
  <si>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</si>
  <si>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</si>
  <si>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</si>
  <si>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</si>
  <si>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</si>
  <si>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</si>
  <si>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</si>
  <si>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</si>
  <si>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</si>
  <si>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</si>
  <si>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</si>
  <si>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</si>
  <si>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</si>
  <si>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</si>
  <si>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</si>
  <si>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</si>
  <si>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</si>
  <si>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</si>
  <si>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</si>
  <si>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</si>
  <si>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</si>
  <si>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</si>
  <si>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</si>
  <si>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</si>
  <si>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</si>
  <si>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</si>
  <si>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</si>
  <si>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</si>
  <si>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</si>
  <si>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</si>
  <si>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</si>
  <si>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</si>
  <si>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</si>
  <si>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</si>
  <si>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</si>
  <si>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</si>
  <si>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</si>
  <si>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</si>
  <si>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</si>
  <si>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</si>
  <si>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</si>
  <si>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</si>
  <si>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</si>
  <si>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</si>
  <si>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</si>
  <si>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</si>
  <si>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</si>
  <si>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</si>
  <si>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</si>
  <si>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</si>
  <si>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</si>
  <si>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</si>
  <si>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</si>
  <si>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</si>
  <si>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</si>
  <si>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</si>
  <si>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</si>
  <si>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</si>
  <si>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</si>
  <si>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</si>
  <si>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</si>
  <si>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</si>
  <si>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</si>
  <si>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</si>
  <si>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</si>
  <si>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</si>
  <si>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</si>
  <si>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</si>
  <si>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</si>
  <si>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</si>
  <si>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</si>
  <si>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</si>
  <si>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</si>
  <si>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</si>
  <si>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</si>
  <si>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</si>
  <si>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</si>
  <si>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</si>
  <si>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</si>
  <si>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</si>
  <si>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</si>
  <si>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</si>
  <si>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</si>
  <si>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</si>
  <si>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</si>
  <si>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</si>
  <si>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</si>
  <si>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</si>
  <si>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</si>
  <si>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</si>
  <si>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</si>
  <si>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</si>
  <si>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</si>
  <si>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</si>
  <si>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</si>
  <si>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</si>
  <si>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</si>
  <si>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</si>
  <si>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</si>
  <si>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</si>
  <si>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</si>
  <si>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</si>
  <si>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</si>
  <si>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</si>
  <si>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</si>
  <si>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</si>
  <si>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</si>
  <si>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</si>
  <si>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</si>
  <si>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</si>
  <si>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</si>
  <si>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</si>
  <si>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</si>
  <si>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</si>
  <si>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</si>
  <si>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</si>
  <si>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</si>
  <si>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</si>
  <si>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</si>
  <si>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</si>
  <si>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</si>
  <si>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</si>
  <si>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</si>
  <si>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</si>
  <si>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</si>
  <si>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</si>
  <si>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</si>
  <si>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</si>
  <si>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</si>
  <si>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</si>
  <si>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</si>
  <si>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</si>
  <si>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</si>
  <si>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</si>
  <si>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</si>
  <si>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</si>
  <si>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</si>
  <si>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</si>
  <si>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</si>
  <si>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</si>
  <si>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</si>
  <si>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</si>
  <si>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</si>
  <si>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</si>
  <si>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</si>
  <si>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</si>
  <si>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</si>
  <si>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</si>
  <si>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</si>
  <si>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</si>
  <si>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</si>
  <si>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</si>
  <si>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</si>
  <si>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</si>
  <si>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</si>
  <si>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</si>
  <si>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</si>
  <si>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</si>
  <si>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</si>
  <si>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</si>
  <si>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</si>
  <si>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</si>
  <si>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</si>
  <si>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</si>
  <si>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</si>
  <si>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</si>
  <si>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</si>
  <si>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</si>
  <si>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</si>
  <si>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</si>
  <si>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</si>
  <si>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</si>
  <si>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</si>
  <si>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</si>
  <si>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</si>
  <si>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</si>
  <si>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</si>
  <si>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</si>
  <si>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</si>
  <si>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</si>
  <si>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</si>
  <si>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</si>
  <si>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</si>
  <si>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</si>
  <si>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Changes Since Previous Version</t>
  </si>
  <si>
    <t>Refer to the Targeted Information Disclosure Review - Electricity Distribution Businesses Final reasons paper - Tranche 1, for the details of changes made. A summary is provided in Chapter 2.</t>
  </si>
  <si>
    <t>EDBs may provide explanatory comment on the options they have considered (including scenarios used) in assessing forecast operational expenditure for the current disclosure year and a 10 year planning period in Schedule 15.</t>
  </si>
  <si>
    <t>12c(i): Consumer Connections</t>
  </si>
  <si>
    <t>Number of ICPs connected during year by consumer type</t>
  </si>
  <si>
    <r>
      <t>The Schedules take the form of templates for</t>
    </r>
    <r>
      <rPr>
        <sz val="10"/>
        <rFont val="Calibri"/>
        <family val="4"/>
        <scheme val="minor"/>
      </rPr>
      <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t>
    </r>
    <r>
      <rPr>
        <sz val="10"/>
        <rFont val="Calibri"/>
        <family val="2"/>
        <scheme val="minor"/>
      </rPr>
      <t xml:space="preserve"> </t>
    </r>
  </si>
  <si>
    <r>
      <t>The</t>
    </r>
    <r>
      <rPr>
        <sz val="10"/>
        <rFont val="Calibri"/>
        <family val="2"/>
        <scheme val="minor"/>
      </rPr>
      <t xml:space="preserve"> schedule</t>
    </r>
    <r>
      <rPr>
        <sz val="10"/>
        <rFont val="Calibri"/>
        <family val="4"/>
        <scheme val="minor"/>
      </rPr>
      <t xml:space="preserve"> 11a, 12b and 12c</t>
    </r>
    <r>
      <rPr>
        <sz val="10"/>
        <rFont val="Calibri"/>
        <family val="2"/>
        <scheme val="minor"/>
      </rPr>
      <t xml:space="preserve"> templates</t>
    </r>
    <r>
      <rPr>
        <sz val="10"/>
        <rFont val="Calibri"/>
        <family val="4"/>
        <scheme val="minor"/>
      </rPr>
      <t xml:space="preserve"> may require additional rows to be inserted in tables marked 'include additional rows if needed'. </t>
    </r>
  </si>
  <si>
    <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</si>
  <si>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t>
  </si>
  <si>
    <t>SCHEDULE 12c: REPORT ON FORECAST NETWORK DEMAND</t>
  </si>
  <si>
    <t xml:space="preserve">         Consolidated Determination as of 23 May 2023</t>
  </si>
  <si>
    <t>Electricity Distribution Information Disclosure Determination 2012</t>
  </si>
  <si>
    <t>ion as of 18 May 2023</t>
  </si>
  <si>
    <t>This document forms Schedules 11a–13 to the Electricity Distribution Information Disclosure Determination 2012 (Consolidated determination as of 18 May 2023)</t>
  </si>
  <si>
    <t>Aurora Energy Limited</t>
  </si>
  <si>
    <t>Consumer Connection</t>
  </si>
  <si>
    <t>Asset Relocations</t>
  </si>
  <si>
    <t>Future Networks</t>
  </si>
  <si>
    <t>RSE</t>
  </si>
  <si>
    <t>Non-Network Assets</t>
  </si>
  <si>
    <t>N/A</t>
  </si>
  <si>
    <t>-</t>
  </si>
  <si>
    <t>Alexandra</t>
  </si>
  <si>
    <t>N-1 switched</t>
  </si>
  <si>
    <t>Clyde/Earnscleugh</t>
  </si>
  <si>
    <t>N</t>
  </si>
  <si>
    <t>Earnscleugh</t>
  </si>
  <si>
    <t>Dunstan</t>
  </si>
  <si>
    <t>Ettrick</t>
  </si>
  <si>
    <t>Lauder Flat</t>
  </si>
  <si>
    <t>Omakau</t>
  </si>
  <si>
    <t>Roxburgh</t>
  </si>
  <si>
    <t>Camp Hill</t>
  </si>
  <si>
    <t>Cardrona</t>
  </si>
  <si>
    <t>Cromwell</t>
  </si>
  <si>
    <t>N-1</t>
  </si>
  <si>
    <t>Lindis Crossing</t>
  </si>
  <si>
    <t>Queensberry</t>
  </si>
  <si>
    <t>Wanaka</t>
  </si>
  <si>
    <t>Riverbank</t>
  </si>
  <si>
    <t>New substation (Luggate surrounds)</t>
  </si>
  <si>
    <t>Arrowtown</t>
  </si>
  <si>
    <t>New zone substation (rebuild of Arrowtown)</t>
  </si>
  <si>
    <t>Commonage</t>
  </si>
  <si>
    <t>Coronet Peak</t>
  </si>
  <si>
    <t>Dalefield</t>
  </si>
  <si>
    <t>New zone substation (rebuild of Dalefield)</t>
  </si>
  <si>
    <t>Fernhill</t>
  </si>
  <si>
    <t>Frankton</t>
  </si>
  <si>
    <t>Queenstown</t>
  </si>
  <si>
    <t>Remarkables</t>
  </si>
  <si>
    <t>Berwick</t>
  </si>
  <si>
    <t>East Taieri</t>
  </si>
  <si>
    <t>Green Island</t>
  </si>
  <si>
    <t>Halfway Bush</t>
  </si>
  <si>
    <t>Kaikorai Valley</t>
  </si>
  <si>
    <t>Mosgiel</t>
  </si>
  <si>
    <t>North East Valley</t>
  </si>
  <si>
    <t>Outram</t>
  </si>
  <si>
    <t>Port Chalmers</t>
  </si>
  <si>
    <t>Smith Street</t>
  </si>
  <si>
    <t>Ward Street</t>
  </si>
  <si>
    <t>Willowbank</t>
  </si>
  <si>
    <t>Andersons Bay</t>
  </si>
  <si>
    <t>Carisbrook</t>
  </si>
  <si>
    <t>Corstorphine</t>
  </si>
  <si>
    <t>North City</t>
  </si>
  <si>
    <t>South City</t>
  </si>
  <si>
    <t>St Kilda</t>
  </si>
  <si>
    <t>No constraint within +5 years</t>
  </si>
  <si>
    <t>Due to aging assets, Clyde/Earnscleugh (CE) substation will be replaced by the new Dunstan substation (aimed to be completed by RY26).  We will transfer the load of CE to the new Dunstan substation by RY27 and decommisison CE by RY28.  We have reinforced the CE distribution network to provide better back-up supply from Alexandra substation.</t>
  </si>
  <si>
    <t>Earnscleugh provides short term partial back up to Clyde/Earnscleugh.  We plan to decomission Earnscleugh when the distribution feeders of Clyde/Earnscleugh substation have been transferred to the new Dunstan substation by RY28.  We have reinforced the Clyde/Earnscleugh network to provide  back-up supply from Alexandra.</t>
  </si>
  <si>
    <t>The new Dunstan substation is expected to be completed by RY26 and Clyde/Earnscleugh load will be transferred in RY27.</t>
  </si>
  <si>
    <t>The substation is scheduled to be renewed in RY33.  This provides an oppurtunity to install standard transformer size and 11kV switchgear to reconfigure the distribution network to uplift the reliability.</t>
  </si>
  <si>
    <t>Subtransmission circuit</t>
  </si>
  <si>
    <t>The Lauder Flat transformer is planned to be replaced by RY31.  The capacity of Alexandra-Omakau 33kV subtransmission (N-security) that supplies Omakau and Lauder Flat substations is limited by voltage because of the squirrel and ferret conductors in the circuit.  We plan to increase capacity and security at Omakau substation by installing a second transformer to compensate for the growth and voltage, this also provides an oppurtunity to supply Lauder Flat (LF) with two feeders and decommission the LF substation instead of replacing the transformer.   Further, we plan to develop in stages a second Alexandra-Omakau subtransmission line and rebuild the existing 33kV subtransmission circuit in the later part of the 10-year period.</t>
  </si>
  <si>
    <t>We are rebuilding Omakau zone substation in a new location along SH85 which is planned to be completed by RY24.  Omakau demand is forecast to grow within the ten year horizon.  However, the capacity of Alexandra-Omakau 33kV subtransmission (N-security) that supplies Omakau and Lauder Flat substations is limited by voltage because of the squirrel and ferret conductors in the circuit.  To increase capacity and security at Omakau substation; (1) we plan to install a second transformer to compensate for the growth and voltage, this also provides an oppurtunity to supply Lauder Flat (LF) with two feeders and decommission the LF substation and (2) develop in stages a second Alexandra-Omakau subtransmission line and rebuild the existing 33kV subtransmission circuit in the later part of the 10-year period.</t>
  </si>
  <si>
    <t>Transformer</t>
  </si>
  <si>
    <t>There is strong growth in the Camp Hill (CH) area and the demand is forecast to reach the capacity by 2029.  We plan to install transformer fans to increase capacity from 7.5 to 10MVA.  We plan to develop a substation in the Luggate area by 2031, transfer load from CH, Queensberry,  some of Riverbank and rationalise the distribution network to improve reliability by 2033.</t>
  </si>
  <si>
    <t>We have recently completed the replacement of the 5MVA transformer with 24MVA transformer thereby increasing the capacity of the substation.</t>
  </si>
  <si>
    <t>We have increased capacity by adding fans to cater for load transfer from Queensberry.  The forecast  indicates that the demand will be above the new capacity by 2030.  We plan to increase capacity and security in two stages in the 10-year horizon.  Stage 1 is to install 24MVA transformer by RY27 and a second 24MVA transfoprmer by RY33.  This plan would also move load from Queensberry to Lindis Crossing.</t>
  </si>
  <si>
    <t>We plan to transfer load of Queensberry to the proposed new substation in the vicinity of the Luggate and Lindis Crossing.</t>
  </si>
  <si>
    <t xml:space="preserve">We are installing a new 24 MVA transformer at Riverbank switching station in RY24/25 and transfer load from Wanaka substation in RY24/25.  Operationally, we have the capability to move &gt;1MVA load to Camp Hill substation. </t>
  </si>
  <si>
    <t>We are installing a new 24 MVA transformer at Riverbank switching station in RY24/25 and transfer load from Wanaka substation in RY24/25.  We have alloted an express feeder between Wanaka and Riverbank to accommodate for a contingent event at Riverbank.</t>
  </si>
  <si>
    <t>We plan to be develop a new substation and the distribution feeders in RY33 to cater for load growth in Luggate and its surrounds.  The proposed new substation will take the load of Queensberry substation in the area, some load of Camp Hill substation, some of Riverbank and rationalise the distribution network to improve reliability.</t>
  </si>
  <si>
    <t>The substation is planned to be renewed and rebuilt in a new location at the later part of the ten year plan.  In the medium term, we plan to transfer some load of Arrowtown to a new zone substation in the Whakatipu area.</t>
  </si>
  <si>
    <t>This new substation will replace the existing Arrowtown substation at a new location in the later part of the ten year plan.  The plan includes to rationalise the distribution network to improve reliability and strengthen the interconnection with adjacent substations' feeders.</t>
  </si>
  <si>
    <t>A new zone substation will be built in the Whakatipu basin to take over the load from this zone substation site.</t>
  </si>
  <si>
    <t xml:space="preserve">There is strong growth at Dalefield and Arthurs point.  The demand is forecast to be above the capacity by RY27.  Further, the substation is scheduled to be renewed by RY30.  We plan to rebuild the substation at a new location with a security level of N-1. </t>
  </si>
  <si>
    <t>We plan to renew and rebuild the Dalefield substation at a new location at the Whakatipu basin with a security level of N-1 in RY26.  The new substation will take over the load of Dalefield substation, Coronet Peak substation, parts of Frankton distribution network at Dalefield area and parts of Arrowtown distribution network at Speargrass area.</t>
  </si>
  <si>
    <t>The forecast shows that the demand will be nearing the substation capacity by RY34.  We will be monitoring the demand and plan accordingly.</t>
  </si>
  <si>
    <t>We are replacing the smaller size transformer with a 24 MVA transformer to increase capacity and security by RY25.  There area is experiencing demand growth.  We will be monitoring the load growth in the area to assist in what options to progress.</t>
  </si>
  <si>
    <t>The substation's transformers and 33kV outdoor bus is planned to be renewed by RY32.  The forecast indicates that the demand will be above the substation's capacity in RY31.  We plan to replace the transformers with 24MVA size and have a 33kV indoor switchgear by RY31 to cater for the forecast load.</t>
  </si>
  <si>
    <t xml:space="preserve">The transformers is planned to be replaced with larger size transformers by RY27. </t>
  </si>
  <si>
    <t xml:space="preserve">The transformers is planned to be replaced with larger size transformers by RY25. </t>
  </si>
  <si>
    <t>Includes the New Dunedin Hospital (NDH) - Inpatient building load.  Ward substation will provide back-up supply to NDH - Outpatient building.</t>
  </si>
  <si>
    <t xml:space="preserve">Includes the New Dunedin Hospital (NDH) - Outpatient building load.  North City substation will provide back-up supply to NDH - Inpatient building. The cost to relocate North City zone substation (if required by the MoH) has not been included in our financial forecasts. </t>
  </si>
  <si>
    <t>Residential</t>
  </si>
  <si>
    <t>Load Group 0</t>
  </si>
  <si>
    <t>Load Group 0A</t>
  </si>
  <si>
    <t>Load Group 1A</t>
  </si>
  <si>
    <t>Load Group 1</t>
  </si>
  <si>
    <t>Load Group 2</t>
  </si>
  <si>
    <t>Load Group 3</t>
  </si>
  <si>
    <t>Load Group 3A</t>
  </si>
  <si>
    <t>Load Group 4</t>
  </si>
  <si>
    <t>Load Group 5</t>
  </si>
  <si>
    <t>Street Lighting &amp; DUML</t>
  </si>
  <si>
    <t>Total Network</t>
  </si>
  <si>
    <t>Dunedin sub-network</t>
  </si>
  <si>
    <t>Central Otago and Wanaka sub-network</t>
  </si>
  <si>
    <t>Queenstown sub-network</t>
  </si>
  <si>
    <t>Our Asst Management Policy is authorised by Chair and CEO and published within our Controlled Document System.  Our Asset Management Policy was reviewed in late 2022 with Board  approval in 2023. It has an active role in informing the development of our SAMP and lower level asset management strategies</t>
  </si>
  <si>
    <t>There are good linkages between the asset management strategy and other appropriate organisational policies and strategies such as the Business strategic priorities and our Risk Management framework but this is not yet comprehensive</t>
  </si>
  <si>
    <t xml:space="preserve">Lifecycle have produced our first Fleet Strategies (for critical fleets) in the past 12months.  We have developed these documents to enable a decision making process at fleet/lifecycle level, that is guided by AM strategy, AM objectives and Organisational strategic priorities.  We will build on the work done, make the strategies living documents - enable continuous improvement of lifecycle decision making and create Fleet Strategies for non-critical fleets. </t>
  </si>
  <si>
    <t>Fleet Strategies have been documented for critical fleets.  For asset systems (groups of assets) we are progressing towards optimising Opex and Capex activities at that system level, but are somewhat constrained and will be until we have enhanced Systems (IT) for managing data.</t>
  </si>
  <si>
    <t>A significant amount of communication is undertaken digitally and in person during team meetings, one on one discussions and governance groups - AMCL October 2019. Additional governance practices and external communication channels have been put in place since 2019.</t>
  </si>
  <si>
    <t>Processes documented within Promapp include roles and responsibilities. Internal position descriptions for our staff, and our contracts for outsourcing designate responsibilities for the delivery of our actions set out in our AMP</t>
  </si>
  <si>
    <t>We have made significant improvement to our capability to deliver our asset management plan efficiently and effectively including a retenderof  our field service agreements. Completing the implementation of our AMS software (Maximo) and our improved cost estimation practices will further lift our maturity.</t>
  </si>
  <si>
    <t>Incident management and business continuity plan documents have been updated and revised since the last assessment. Emergency management and communication plans are regularly tested and any improvement opportunities are identified and</t>
  </si>
  <si>
    <t xml:space="preserve">Management roles are in place to deliver the asset management strategy and policies.  All roles have up to date position descriptions aligned to the delivery of asset management objectives. </t>
  </si>
  <si>
    <t>Our resource planning process is informed regular ELT review of business priorities and by processes to monitor and track our progress against agreed asset management improvement plans (e.g. CPP improvemnt plan) and the delivery of our annual work plan. We are largely meeting our asset management deadlines and we flex resources as required to stay on track. Further improvement requires a proactive planning approach.</t>
  </si>
  <si>
    <t>GM of Asset Management and Planning  emphasises the need to meet asset management requirements, including the commitment to seek alignement with ISO 55000. There are regular team briefings and newsletters from top management to all staff that refer to Asset Management Objectives and progress against them.</t>
  </si>
  <si>
    <t>Process for Contract Management inplace and operational. Contractor selection process documented. Field Service Agreements are actively reviewed and ammended where appropriate. Alignment with asset management objectives and policies in development.</t>
  </si>
  <si>
    <t xml:space="preserve">Aurora Energy has an established organisational chart and roles to support the delivery of asset management.  Critical roles in this area have been identified with succession planning underway.  Aurora Energy has conducted a functional review to identify potential future roles which may be required to support asset management processes as part of strategic workforce planning processes.  </t>
  </si>
  <si>
    <t xml:space="preserve">All Aurora Energy staff have development plans in place as well as regular training to ensure they are skilled and equipped in their respective roles. </t>
  </si>
  <si>
    <t xml:space="preserve">Competency registers are held for staff undertaking construction and Maintenance work. Training requirements for Asset Management staff are recorded in a Company register but a review system against competencies has not yet been implemented </t>
  </si>
  <si>
    <t xml:space="preserve">Regular engagement and information sharing occurs across the region through a multi-channel approach including publications, digital and in-person meetings and events.  Asset management major projects are reported in the Annual Delivery Plan summary as well through the Aurora Energy Annual Report and comunity newsletter. </t>
  </si>
  <si>
    <t>We have a considerable number of AMS documents in place and the main processes and the interactions between them have been documented in Promapp. Further work is required to complete the document set and keep them up to date as the business evolves.</t>
  </si>
  <si>
    <t>developed for 12 Asset Fleet Categories as part of the asset managment system implementation.  The high level design for asset data migration has been developed to migrate asset condition data from external sources to Maximo.</t>
  </si>
  <si>
    <t>The existing controls have been further enhanced by further quality reports in the last 12 months.  The new controls ensure completeness and accuracy of the GIS matches that provided by field and internal staff and that the GIS is aligned with Grid Plans, and that the ADMS and GIS data sets are aligned.</t>
  </si>
  <si>
    <t>The Asset managment system implementation is governed by a Steering Group made up of Executives representing all impacted stakeholders inside the business.  This group meets regularly and ensures the implementation project delivers to plan.</t>
  </si>
  <si>
    <t xml:space="preserve">We have made progress - documenting failure modes for critical fleets, we are still using Safety Criticality Zones  to prioritise work from a public safety perspective.  Where this is not relevant (buried services) we have started to develop and apply reliability criticality.  Within the Fleet Strategies, we have developed a framework, aligned with Corporate Risk Framework to assess other categories of risk, against each failure mode.  Developing a tool that enables us to quantify risk across fleets is a priority. </t>
  </si>
  <si>
    <t>New risks identified as part of incident investigations (ICAM) are added to the Corporate Risk Register. Regular reassessment of of the existing risk register occurs.</t>
  </si>
  <si>
    <t>Aurora uses Comply Watch to monitor the regulatory environment. The Comply With system is used for internal compliance identification purposes.</t>
  </si>
  <si>
    <t>We have design and procurment processes and procedures in place for the delivery of our annual work plan. We are continuously improving these processes and procedures as we learn from incident reviews and implement our improvement initiatives such as Maximo, enhanced cost estimation and work quality assurance.</t>
  </si>
  <si>
    <t xml:space="preserve">We have made some progress, reviewing current Pole inspection programme and extending it to capture OH assets, including Conductors, we have written a set of guidance docs and provided training to end users.  We have a lot of work to do in this space. Fleet Strategies capture Maint activities required to manage known or emerging Failure Modes - each inspection plan will be reviewed against documented failure modes. </t>
  </si>
  <si>
    <t xml:space="preserve">We have established a Reliability Forum, and a process of reviewing asset failures, establishing Root Cause and taking the learnings to enhance and inform Maintenance activities.  Fleet Strategies document failure modes, maint strategies are defined and assessed for gaps against failure modes - Inspection plan/questions will be reviewed against documented failure modes </t>
  </si>
  <si>
    <t>Dedicated roles monitor network performance and carry out root cause analysis of outages. Asset failures are investigated by ICAM trained staff and the results reported to the wider business.   The safety function has been decentralised, specific responsibilities are aligned based on critical risks and dedicated control owners.</t>
  </si>
  <si>
    <t xml:space="preserve">A number a major external reviews of our asset management systems and practises have been  carried out including AMCL assessing against ISO55001. WSP-Opus, Sapere and Cosman Parkes have also reviewed safety aspects of our asset management practices. A routine internal audit system is yet to be established. External audits of our Public Safety Management System occur on a periodic basis. </t>
  </si>
  <si>
    <t>Triggers set and understood for implementation of formal investigations of failures.  Systematic instigation of actions stemming from ICAM is still immature and requires documenting to ensure consistency</t>
  </si>
  <si>
    <t>We are documenting change, and opportunities for improvements at a fleet level, in our Fleet Strategy documents.  We have a commenced a Cost Estimation/Scoping Improvement project for Major Projects. We are become more focused on continuous improvement in our day to day management of assets.</t>
  </si>
  <si>
    <t xml:space="preserve">We engage with industry/other EDBs re NEMA and introduction of new tech, we attend EEA facilitated roadshows, we work with suppliers and labs re RCA  . We capture learnings and our response to those learnings in our Fleet Strategy Documents, We are working to create an opportunity to engage more with our field crews re learnings. We are associated with Professional Organisations such as IAM, ENZ, EEA </t>
  </si>
  <si>
    <t>ISO 55001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</si>
</sst>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73"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sz val="10"/>
      <color theme="1"/>
      <name val="Calibri"/>
      <family val="2"/>
    </font>
    <font>
      <b/>
      <sz val="10"/>
      <color theme="1"/>
      <name val="Calibri"/>
      <family val="2"/>
    </font>
    <font>
      <sz val="10"/>
      <color rgb="FFFF0000"/>
      <name val="Calibri"/>
      <family val="2"/>
      <scheme val="minor"/>
    </font>
    <font>
      <sz val="10"/>
      <color rgb="FFFF0000"/>
      <name val="Calibri"/>
      <family val="2"/>
    </font>
    <font>
      <b/>
      <sz val="18"/>
      <name val="Calibri"/>
      <family val="1"/>
    </font>
    <font>
      <sz val="10"/>
      <name val="Calibri"/>
      <family val="1"/>
    </font>
    <font>
      <b/>
      <sz val="12"/>
      <name val="Calibri"/>
      <family val="1"/>
    </font>
    <font>
      <b/>
      <i/>
      <sz val="12"/>
      <name val="Calibri"/>
      <family val="2"/>
    </font>
    <font>
      <b/>
      <i/>
      <sz val="12"/>
      <name val="Calibri"/>
      <family val="2"/>
      <scheme val="major"/>
    </font>
    <font>
      <b/>
      <sz val="16"/>
      <name val="Calibri"/>
      <family val="2"/>
      <scheme val="minor"/>
    </font>
    <font>
      <b/>
      <sz val="18"/>
      <color indexed="8"/>
      <name val="Calibri"/>
      <family val="2"/>
    </font>
    <font>
      <b/>
      <sz val="18"/>
      <color rgb="FF000000"/>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s>
  <cellStyleXfs count="80">
    <xf numFmtId="0" fontId="0" fillId="0" borderId="0">
      <alignment horizontal="right"/>
    </xf>
    <xf numFmtId="0" fontId="20"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1" fillId="4" borderId="0" applyBorder="0"/>
    <xf numFmtId="0" fontId="20" fillId="5" borderId="1">
      <alignment horizontal="center"/>
    </xf>
    <xf numFmtId="0" fontId="22" fillId="0" borderId="1">
      <protection locked="0"/>
    </xf>
    <xf numFmtId="0" fontId="23" fillId="4" borderId="0" applyAlignment="0"/>
    <xf numFmtId="171" fontId="18" fillId="0" borderId="0" applyFont="0" applyFill="0" applyBorder="0" applyProtection="0">
      <protection locked="0"/>
    </xf>
    <xf numFmtId="173" fontId="18" fillId="0" borderId="0" applyFont="0" applyFill="0" applyBorder="0" applyAlignment="0" applyProtection="0">
      <alignment wrapText="1"/>
    </xf>
    <xf numFmtId="169" fontId="20" fillId="5" borderId="1">
      <alignment horizontal="center" vertical="center"/>
    </xf>
    <xf numFmtId="0" fontId="24" fillId="4" borderId="0" applyNumberFormat="0" applyBorder="0">
      <alignment horizontal="left"/>
    </xf>
    <xf numFmtId="0" fontId="25" fillId="5" borderId="3" applyBorder="0"/>
    <xf numFmtId="0" fontId="26" fillId="5" borderId="0" applyNumberFormat="0" applyBorder="0">
      <alignment horizontal="right"/>
    </xf>
    <xf numFmtId="0" fontId="12" fillId="5" borderId="0" applyFont="0" applyAlignment="0"/>
    <xf numFmtId="0" fontId="27" fillId="5" borderId="0" applyBorder="0">
      <alignment vertical="top" wrapText="1"/>
    </xf>
    <xf numFmtId="0" fontId="21" fillId="5" borderId="0" applyAlignment="0">
      <alignment horizontal="center"/>
    </xf>
    <xf numFmtId="0" fontId="28" fillId="0" borderId="0" applyNumberFormat="0" applyFill="0" applyAlignment="0" applyProtection="0"/>
    <xf numFmtId="0" fontId="29" fillId="4" borderId="0" applyBorder="0"/>
    <xf numFmtId="0" fontId="30" fillId="4" borderId="0" applyBorder="0"/>
    <xf numFmtId="0" fontId="31" fillId="4" borderId="0" applyBorder="0">
      <alignment horizontal="left"/>
    </xf>
    <xf numFmtId="0" fontId="31" fillId="4" borderId="0" applyBorder="0">
      <alignment horizontal="center" wrapText="1"/>
    </xf>
    <xf numFmtId="0" fontId="4" fillId="4" borderId="4" applyNumberFormat="0" applyFont="0" applyAlignment="0"/>
    <xf numFmtId="0" fontId="32" fillId="0" borderId="0" applyNumberFormat="0" applyFill="0" applyBorder="0" applyAlignment="0" applyProtection="0">
      <alignment vertical="top"/>
      <protection locked="0"/>
    </xf>
    <xf numFmtId="0" fontId="21" fillId="4" borderId="0" applyNumberFormat="0" applyBorder="0" applyProtection="0">
      <alignment horizontal="right"/>
    </xf>
    <xf numFmtId="0" fontId="21" fillId="4" borderId="8">
      <alignment horizontal="right"/>
    </xf>
    <xf numFmtId="0" fontId="31" fillId="4" borderId="1" applyAlignment="0">
      <alignment horizontal="center" vertical="center" wrapText="1"/>
    </xf>
    <xf numFmtId="0" fontId="23" fillId="4" borderId="1" applyAlignment="0">
      <alignment horizontal="center" vertical="top" wrapText="1"/>
    </xf>
    <xf numFmtId="0" fontId="23" fillId="4" borderId="1" applyAlignment="0" applyProtection="0">
      <alignment vertical="top" wrapText="1"/>
    </xf>
    <xf numFmtId="0" fontId="23" fillId="4" borderId="0" applyBorder="0">
      <alignment horizontal="left"/>
    </xf>
    <xf numFmtId="172" fontId="18" fillId="0" borderId="0" applyFont="0" applyFill="0" applyBorder="0">
      <alignment horizontal="left"/>
      <protection locked="0"/>
    </xf>
    <xf numFmtId="0" fontId="21" fillId="4" borderId="0" applyBorder="0">
      <alignment horizontal="center" wrapText="1"/>
    </xf>
    <xf numFmtId="168"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43" fillId="0" borderId="0" applyNumberFormat="0" applyFill="0" applyBorder="0" applyAlignment="0" applyProtection="0"/>
    <xf numFmtId="0" fontId="44" fillId="0" borderId="29" applyNumberFormat="0" applyFill="0" applyAlignment="0" applyProtection="0"/>
    <xf numFmtId="0" fontId="45" fillId="0" borderId="30" applyNumberFormat="0" applyFill="0" applyAlignment="0" applyProtection="0"/>
    <xf numFmtId="0" fontId="46" fillId="0" borderId="31" applyNumberFormat="0" applyFill="0" applyAlignment="0" applyProtection="0"/>
    <xf numFmtId="0" fontId="46" fillId="0" borderId="0" applyNumberFormat="0" applyFill="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32" applyNumberFormat="0" applyAlignment="0" applyProtection="0"/>
    <xf numFmtId="0" fontId="51" fillId="10" borderId="33" applyNumberFormat="0" applyAlignment="0" applyProtection="0"/>
    <xf numFmtId="0" fontId="52" fillId="10" borderId="32" applyNumberFormat="0" applyAlignment="0" applyProtection="0"/>
    <xf numFmtId="0" fontId="53" fillId="0" borderId="34" applyNumberFormat="0" applyFill="0" applyAlignment="0" applyProtection="0"/>
    <xf numFmtId="0" fontId="54" fillId="11" borderId="35" applyNumberFormat="0" applyAlignment="0" applyProtection="0"/>
    <xf numFmtId="0" fontId="55" fillId="0" borderId="0" applyNumberFormat="0" applyFill="0" applyBorder="0" applyAlignment="0" applyProtection="0"/>
    <xf numFmtId="0" fontId="19" fillId="12" borderId="36" applyNumberFormat="0" applyFont="0" applyAlignment="0" applyProtection="0"/>
    <xf numFmtId="0" fontId="56" fillId="0" borderId="0" applyNumberFormat="0" applyFill="0" applyBorder="0" applyAlignment="0" applyProtection="0"/>
    <xf numFmtId="0" fontId="57" fillId="0" borderId="37" applyNumberFormat="0" applyFill="0" applyAlignment="0" applyProtection="0"/>
    <xf numFmtId="0" fontId="5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8" fillId="36" borderId="0" applyNumberFormat="0" applyBorder="0" applyAlignment="0" applyProtection="0"/>
    <xf numFmtId="0" fontId="60" fillId="0" borderId="0" applyNumberFormat="0" applyFill="0" applyAlignment="0"/>
    <xf numFmtId="0" fontId="60" fillId="0" borderId="0" applyNumberFormat="0" applyFill="0" applyAlignment="0"/>
  </cellStyleXfs>
  <cellXfs count="239">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7" fillId="0" borderId="0" xfId="0" applyFont="1" applyAlignment="1"/>
    <xf numFmtId="0" fontId="23" fillId="4" borderId="8" xfId="7" applyBorder="1"/>
    <xf numFmtId="0" fontId="23" fillId="4" borderId="8" xfId="7" applyBorder="1" applyAlignment="1"/>
    <xf numFmtId="0" fontId="21" fillId="4" borderId="19" xfId="25" applyBorder="1">
      <alignment horizontal="right"/>
    </xf>
    <xf numFmtId="0" fontId="23" fillId="4" borderId="5" xfId="7" applyBorder="1"/>
    <xf numFmtId="0" fontId="23" fillId="4" borderId="16" xfId="7" applyBorder="1"/>
    <xf numFmtId="0" fontId="6" fillId="5" borderId="8" xfId="14" applyFont="1" applyBorder="1"/>
    <xf numFmtId="0" fontId="23" fillId="4" borderId="0" xfId="7" applyAlignment="1">
      <alignment horizontal="left" indent="2"/>
    </xf>
    <xf numFmtId="0" fontId="23" fillId="4" borderId="0" xfId="7" applyAlignment="1">
      <alignment horizontal="center" wrapText="1"/>
    </xf>
    <xf numFmtId="0" fontId="11" fillId="5" borderId="0" xfId="14" applyFont="1" applyAlignment="1"/>
    <xf numFmtId="0" fontId="23"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1" fillId="4" borderId="0" xfId="31" applyBorder="1">
      <alignment horizontal="center" wrapText="1"/>
    </xf>
    <xf numFmtId="0" fontId="10" fillId="5" borderId="0" xfId="14" applyFont="1" applyAlignment="1">
      <alignment horizontal="left" indent="2"/>
    </xf>
    <xf numFmtId="0" fontId="23" fillId="4" borderId="0" xfId="7" applyAlignment="1">
      <alignment horizontal="left" indent="3"/>
    </xf>
    <xf numFmtId="0" fontId="21" fillId="4" borderId="8" xfId="31" applyBorder="1">
      <alignment horizontal="center" wrapText="1"/>
    </xf>
    <xf numFmtId="0" fontId="21" fillId="5" borderId="3" xfId="16" applyBorder="1" applyAlignment="1">
      <alignment horizontal="left"/>
    </xf>
    <xf numFmtId="0" fontId="23" fillId="4" borderId="15" xfId="7" applyBorder="1"/>
    <xf numFmtId="0" fontId="27" fillId="5" borderId="13" xfId="15" applyBorder="1">
      <alignment vertical="top" wrapText="1"/>
    </xf>
    <xf numFmtId="0" fontId="27" fillId="5" borderId="0" xfId="15" applyBorder="1">
      <alignment vertical="top" wrapText="1"/>
    </xf>
    <xf numFmtId="0" fontId="6" fillId="5" borderId="0" xfId="14" applyFont="1" applyAlignment="1"/>
    <xf numFmtId="0" fontId="21" fillId="4" borderId="7" xfId="25" applyBorder="1">
      <alignment horizontal="right"/>
    </xf>
    <xf numFmtId="0" fontId="26" fillId="5" borderId="0" xfId="13" applyBorder="1">
      <alignment horizontal="right"/>
    </xf>
    <xf numFmtId="0" fontId="27" fillId="5" borderId="8" xfId="15" applyBorder="1">
      <alignment vertical="top" wrapText="1"/>
    </xf>
    <xf numFmtId="0" fontId="21" fillId="4" borderId="0" xfId="25" applyBorder="1">
      <alignment horizontal="right"/>
    </xf>
    <xf numFmtId="0" fontId="21" fillId="4" borderId="7" xfId="25" applyBorder="1" applyAlignment="1">
      <alignment horizontal="right" vertical="center"/>
    </xf>
    <xf numFmtId="171" fontId="16" fillId="2" borderId="2" xfId="8" applyFont="1" applyFill="1" applyBorder="1">
      <protection locked="0"/>
    </xf>
    <xf numFmtId="172" fontId="16" fillId="2" borderId="2" xfId="30" applyFont="1" applyFill="1" applyBorder="1" applyAlignment="1">
      <alignment horizontal="left" wrapText="1"/>
      <protection locked="0"/>
    </xf>
    <xf numFmtId="0" fontId="6" fillId="5" borderId="0" xfId="14" applyFont="1"/>
    <xf numFmtId="0" fontId="21" fillId="5" borderId="0" xfId="16" applyAlignment="1"/>
    <xf numFmtId="173" fontId="33" fillId="3" borderId="0" xfId="9" applyFont="1" applyFill="1" applyBorder="1" applyAlignment="1">
      <alignment horizontal="center" wrapText="1"/>
    </xf>
    <xf numFmtId="0" fontId="25" fillId="5" borderId="0" xfId="12" applyBorder="1"/>
    <xf numFmtId="0" fontId="21" fillId="4" borderId="5" xfId="25" applyBorder="1">
      <alignment horizontal="right"/>
    </xf>
    <xf numFmtId="0" fontId="21" fillId="4" borderId="0" xfId="25" applyBorder="1" applyAlignment="1">
      <alignment horizontal="right" vertical="center"/>
    </xf>
    <xf numFmtId="0" fontId="23" fillId="0" borderId="0" xfId="7" applyFill="1"/>
    <xf numFmtId="0" fontId="31" fillId="4" borderId="0" xfId="7" applyFont="1" applyAlignment="1">
      <alignment horizontal="left"/>
    </xf>
    <xf numFmtId="0" fontId="31" fillId="4" borderId="0" xfId="29" applyFont="1" applyBorder="1">
      <alignment horizontal="left"/>
    </xf>
    <xf numFmtId="0" fontId="31" fillId="4" borderId="0" xfId="7" applyFont="1" applyAlignment="1">
      <alignment horizontal="right"/>
    </xf>
    <xf numFmtId="0" fontId="20" fillId="5" borderId="1" xfId="5">
      <alignment horizontal="center"/>
    </xf>
    <xf numFmtId="169" fontId="20" fillId="5" borderId="1" xfId="10">
      <alignment horizontal="center" vertical="center"/>
    </xf>
    <xf numFmtId="0" fontId="23" fillId="4" borderId="0" xfId="7"/>
    <xf numFmtId="0" fontId="23" fillId="4" borderId="0" xfId="7" applyAlignment="1"/>
    <xf numFmtId="0" fontId="25" fillId="5" borderId="3" xfId="12" applyBorder="1"/>
    <xf numFmtId="0" fontId="23" fillId="4" borderId="0" xfId="29" applyBorder="1">
      <alignment horizontal="left"/>
    </xf>
    <xf numFmtId="0" fontId="27" fillId="5" borderId="0" xfId="15" applyBorder="1" applyAlignment="1">
      <alignment vertical="top"/>
    </xf>
    <xf numFmtId="0" fontId="25" fillId="5" borderId="3" xfId="12" applyBorder="1" applyAlignment="1">
      <alignment horizontal="left" indent="1"/>
    </xf>
    <xf numFmtId="0" fontId="27" fillId="5" borderId="3" xfId="15" applyBorder="1">
      <alignment vertical="top" wrapText="1"/>
    </xf>
    <xf numFmtId="0" fontId="6" fillId="0" borderId="0" xfId="14" applyFont="1" applyFill="1"/>
    <xf numFmtId="0" fontId="27" fillId="0" borderId="0" xfId="15" applyFill="1" applyBorder="1">
      <alignment vertical="top" wrapText="1"/>
    </xf>
    <xf numFmtId="0" fontId="34" fillId="4" borderId="1" xfId="28" applyFont="1" applyAlignment="1">
      <alignment vertical="top" wrapText="1"/>
    </xf>
    <xf numFmtId="0" fontId="35" fillId="4" borderId="1" xfId="26" applyFont="1">
      <alignment horizontal="center" vertical="center" wrapText="1"/>
    </xf>
    <xf numFmtId="0" fontId="36" fillId="4" borderId="8" xfId="7" applyFont="1" applyBorder="1"/>
    <xf numFmtId="0" fontId="36" fillId="0" borderId="0" xfId="7" applyFont="1" applyFill="1"/>
    <xf numFmtId="0" fontId="35" fillId="0" borderId="0" xfId="26" applyFont="1" applyFill="1" applyBorder="1">
      <alignment horizontal="center" vertical="center" wrapText="1"/>
    </xf>
    <xf numFmtId="0" fontId="34" fillId="4" borderId="8" xfId="7" applyFont="1" applyBorder="1"/>
    <xf numFmtId="0" fontId="34" fillId="0" borderId="0" xfId="7" applyFont="1" applyFill="1"/>
    <xf numFmtId="0" fontId="34" fillId="4" borderId="1" xfId="27" applyFont="1" applyAlignment="1">
      <alignment horizontal="center" vertical="top" wrapText="1"/>
    </xf>
    <xf numFmtId="0" fontId="37" fillId="0" borderId="0" xfId="0" applyFont="1">
      <alignment horizontal="right"/>
    </xf>
    <xf numFmtId="0" fontId="34" fillId="4" borderId="16" xfId="7" applyFont="1" applyBorder="1"/>
    <xf numFmtId="0" fontId="21" fillId="4" borderId="0" xfId="11" applyFont="1" applyBorder="1">
      <alignment horizontal="left"/>
    </xf>
    <xf numFmtId="0" fontId="34" fillId="4" borderId="0" xfId="7" applyFont="1"/>
    <xf numFmtId="0" fontId="34" fillId="4" borderId="0" xfId="7" applyFont="1" applyAlignment="1"/>
    <xf numFmtId="0" fontId="29" fillId="4" borderId="0" xfId="18" applyBorder="1" applyAlignment="1">
      <alignment horizontal="left" indent="1"/>
    </xf>
    <xf numFmtId="0" fontId="34" fillId="4" borderId="0" xfId="7" applyFont="1" applyAlignment="1">
      <alignment vertical="center"/>
    </xf>
    <xf numFmtId="0" fontId="30" fillId="4" borderId="0" xfId="18" applyFont="1" applyBorder="1" applyAlignment="1">
      <alignment horizontal="left" indent="1"/>
    </xf>
    <xf numFmtId="0" fontId="38" fillId="4" borderId="0" xfId="25" applyFont="1" applyBorder="1">
      <alignment horizontal="right"/>
    </xf>
    <xf numFmtId="0" fontId="38" fillId="4" borderId="0" xfId="25" applyFont="1" applyBorder="1" applyAlignment="1">
      <alignment horizontal="right" vertical="center"/>
    </xf>
    <xf numFmtId="0" fontId="30" fillId="4" borderId="0" xfId="19" applyBorder="1"/>
    <xf numFmtId="0" fontId="31" fillId="4" borderId="0" xfId="19" applyFont="1" applyBorder="1"/>
    <xf numFmtId="0" fontId="31" fillId="4" borderId="0" xfId="20" applyBorder="1">
      <alignment horizontal="left"/>
    </xf>
    <xf numFmtId="0" fontId="23" fillId="4" borderId="0" xfId="7" applyAlignment="1">
      <alignment horizontal="center"/>
    </xf>
    <xf numFmtId="0" fontId="21" fillId="4" borderId="0" xfId="24" applyBorder="1">
      <alignment horizontal="right"/>
    </xf>
    <xf numFmtId="0" fontId="23" fillId="4" borderId="0" xfId="7" applyAlignment="1">
      <alignment horizontal="left"/>
    </xf>
    <xf numFmtId="0" fontId="23" fillId="4" borderId="0" xfId="7" applyAlignment="1">
      <alignment wrapText="1"/>
    </xf>
    <xf numFmtId="0" fontId="23" fillId="4" borderId="0" xfId="7" applyAlignment="1">
      <alignment horizontal="left" indent="1"/>
    </xf>
    <xf numFmtId="0" fontId="23" fillId="4" borderId="0" xfId="7" quotePrefix="1"/>
    <xf numFmtId="0" fontId="21" fillId="4" borderId="0" xfId="4" applyBorder="1"/>
    <xf numFmtId="0" fontId="31" fillId="4" borderId="0" xfId="21" applyBorder="1">
      <alignment horizontal="center" wrapText="1"/>
    </xf>
    <xf numFmtId="0" fontId="23" fillId="4" borderId="0" xfId="7" applyAlignment="1">
      <alignment vertical="top" wrapText="1"/>
    </xf>
    <xf numFmtId="0" fontId="23" fillId="4" borderId="0" xfId="29" applyBorder="1" applyAlignment="1"/>
    <xf numFmtId="174" fontId="23" fillId="4" borderId="0" xfId="7" applyNumberFormat="1"/>
    <xf numFmtId="0" fontId="31" fillId="4" borderId="0" xfId="20" applyBorder="1" applyAlignment="1"/>
    <xf numFmtId="174" fontId="23" fillId="4" borderId="0" xfId="7" applyNumberFormat="1" applyAlignment="1"/>
    <xf numFmtId="0" fontId="23" fillId="4" borderId="0" xfId="7" applyAlignment="1">
      <alignment vertical="top"/>
    </xf>
    <xf numFmtId="0" fontId="31" fillId="4" borderId="0" xfId="18" applyFont="1" applyBorder="1" applyAlignment="1">
      <alignment horizontal="left" indent="1"/>
    </xf>
    <xf numFmtId="173" fontId="40" fillId="3" borderId="0" xfId="9" applyFont="1" applyFill="1" applyBorder="1" applyAlignment="1">
      <alignment horizontal="center" wrapText="1"/>
    </xf>
    <xf numFmtId="0" fontId="31" fillId="4" borderId="0" xfId="21" applyBorder="1" applyAlignment="1">
      <alignment horizontal="left"/>
    </xf>
    <xf numFmtId="0" fontId="31" fillId="4" borderId="0" xfId="21" applyBorder="1" applyAlignment="1">
      <alignment horizontal="right"/>
    </xf>
    <xf numFmtId="0" fontId="4" fillId="4" borderId="0" xfId="22" applyFont="1" applyBorder="1" applyAlignment="1">
      <alignment horizontal="right"/>
    </xf>
    <xf numFmtId="0" fontId="31" fillId="4" borderId="0" xfId="21" applyBorder="1" applyAlignment="1">
      <alignment horizontal="right" vertical="center"/>
    </xf>
    <xf numFmtId="0" fontId="31" fillId="4" borderId="0" xfId="21" quotePrefix="1" applyBorder="1" applyAlignment="1">
      <alignment horizontal="left" vertical="center"/>
    </xf>
    <xf numFmtId="0" fontId="31" fillId="4" borderId="0" xfId="21" quotePrefix="1" applyBorder="1" applyAlignment="1">
      <alignment horizontal="right"/>
    </xf>
    <xf numFmtId="173" fontId="31" fillId="4" borderId="0" xfId="9" applyFont="1" applyFill="1" applyBorder="1" applyAlignment="1">
      <alignment horizontal="center" wrapText="1"/>
    </xf>
    <xf numFmtId="0" fontId="31" fillId="4" borderId="0" xfId="21" applyBorder="1" applyAlignment="1">
      <alignment horizontal="left" vertical="center"/>
    </xf>
    <xf numFmtId="0" fontId="31" fillId="4" borderId="0" xfId="21" applyBorder="1" applyAlignment="1">
      <alignment horizontal="center" vertical="center" wrapText="1"/>
    </xf>
    <xf numFmtId="0" fontId="23" fillId="4" borderId="0" xfId="7" applyAlignment="1">
      <alignment horizontal="left" wrapText="1" indent="1"/>
    </xf>
    <xf numFmtId="164" fontId="31" fillId="4" borderId="0" xfId="7" quotePrefix="1" applyNumberFormat="1" applyFont="1" applyAlignment="1">
      <alignment horizontal="left"/>
    </xf>
    <xf numFmtId="0" fontId="31" fillId="4" borderId="0" xfId="20" applyBorder="1" applyAlignment="1">
      <alignment vertical="center"/>
    </xf>
    <xf numFmtId="0" fontId="31" fillId="4" borderId="0" xfId="20" applyBorder="1" applyAlignment="1">
      <alignment horizontal="left" vertical="center"/>
    </xf>
    <xf numFmtId="0" fontId="21" fillId="4" borderId="13" xfId="31" applyBorder="1">
      <alignment horizontal="center" wrapText="1"/>
    </xf>
    <xf numFmtId="0" fontId="21" fillId="4" borderId="0" xfId="4" applyBorder="1" applyAlignment="1">
      <alignment horizontal="left"/>
    </xf>
    <xf numFmtId="173" fontId="31" fillId="4" borderId="0" xfId="9" applyFont="1" applyFill="1" applyBorder="1" applyAlignment="1">
      <alignment horizontal="center" vertical="top" wrapText="1"/>
    </xf>
    <xf numFmtId="0" fontId="22" fillId="0" borderId="1" xfId="6">
      <protection locked="0"/>
    </xf>
    <xf numFmtId="0" fontId="21" fillId="4" borderId="0" xfId="31" applyBorder="1" applyAlignment="1">
      <alignment wrapText="1"/>
    </xf>
    <xf numFmtId="0" fontId="6" fillId="5" borderId="12" xfId="14" applyFont="1" applyBorder="1" applyAlignment="1"/>
    <xf numFmtId="0" fontId="6" fillId="5" borderId="3" xfId="14" applyFont="1" applyBorder="1" applyAlignment="1"/>
    <xf numFmtId="0" fontId="21" fillId="5" borderId="3" xfId="16" applyBorder="1" applyAlignment="1"/>
    <xf numFmtId="0" fontId="21" fillId="4" borderId="7" xfId="25" applyBorder="1" applyAlignment="1"/>
    <xf numFmtId="0" fontId="21" fillId="4" borderId="19" xfId="25" applyBorder="1" applyAlignment="1"/>
    <xf numFmtId="0" fontId="23" fillId="4" borderId="0" xfId="29" applyBorder="1" applyAlignment="1">
      <alignment horizontal="left" indent="2"/>
    </xf>
    <xf numFmtId="0" fontId="23" fillId="4" borderId="0" xfId="29" applyBorder="1" applyAlignment="1">
      <alignment horizontal="right"/>
    </xf>
    <xf numFmtId="175" fontId="22" fillId="0" borderId="1" xfId="6" applyNumberFormat="1">
      <protection locked="0"/>
    </xf>
    <xf numFmtId="175" fontId="4" fillId="4" borderId="4" xfId="22" applyNumberFormat="1" applyFont="1" applyAlignment="1">
      <alignment horizontal="right"/>
    </xf>
    <xf numFmtId="175" fontId="4" fillId="4" borderId="20" xfId="22" applyNumberFormat="1" applyFont="1" applyBorder="1" applyAlignment="1">
      <alignment horizontal="right"/>
    </xf>
    <xf numFmtId="175" fontId="23" fillId="4" borderId="1" xfId="3" applyNumberFormat="1" applyFont="1" applyBorder="1" applyProtection="1">
      <alignment horizontal="right"/>
    </xf>
    <xf numFmtId="175" fontId="23" fillId="4" borderId="21" xfId="3" applyNumberFormat="1" applyFont="1" applyBorder="1" applyProtection="1">
      <alignment horizontal="right"/>
    </xf>
    <xf numFmtId="175" fontId="23" fillId="4" borderId="22" xfId="3" applyNumberFormat="1" applyFont="1" applyBorder="1" applyProtection="1">
      <alignment horizontal="right"/>
    </xf>
    <xf numFmtId="175" fontId="23" fillId="4" borderId="23" xfId="3" applyNumberFormat="1" applyFont="1" applyBorder="1" applyProtection="1">
      <alignment horizontal="right"/>
    </xf>
    <xf numFmtId="176" fontId="22" fillId="0" borderId="1" xfId="6" applyNumberFormat="1">
      <protection locked="0"/>
    </xf>
    <xf numFmtId="177" fontId="22"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2" fillId="0" borderId="1" xfId="6" applyNumberFormat="1">
      <protection locked="0"/>
    </xf>
    <xf numFmtId="180" fontId="22" fillId="0" borderId="1" xfId="6" applyNumberFormat="1">
      <protection locked="0"/>
    </xf>
    <xf numFmtId="0" fontId="22" fillId="0" borderId="1" xfId="6" applyAlignment="1">
      <alignment wrapText="1"/>
      <protection locked="0"/>
    </xf>
    <xf numFmtId="0" fontId="41" fillId="0" borderId="1" xfId="6" applyFont="1" applyAlignment="1">
      <alignment vertical="top"/>
      <protection locked="0"/>
    </xf>
    <xf numFmtId="0" fontId="41"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4" fillId="4" borderId="21" xfId="28" applyFont="1" applyBorder="1" applyAlignment="1">
      <alignment horizontal="left" vertical="top" wrapText="1"/>
    </xf>
    <xf numFmtId="0" fontId="35" fillId="4" borderId="21" xfId="26" applyFont="1" applyBorder="1">
      <alignment horizontal="center" vertical="center" wrapText="1"/>
    </xf>
    <xf numFmtId="0" fontId="23" fillId="4" borderId="26" xfId="7" applyBorder="1" applyAlignment="1">
      <alignment horizontal="left" vertical="top" wrapText="1"/>
    </xf>
    <xf numFmtId="0" fontId="34" fillId="4" borderId="1" xfId="28" applyFont="1" applyAlignment="1">
      <alignment horizontal="left" vertical="top" wrapText="1"/>
    </xf>
    <xf numFmtId="0" fontId="23" fillId="4" borderId="5" xfId="7" applyBorder="1" applyAlignment="1">
      <alignment horizontal="left" vertical="top" wrapText="1"/>
    </xf>
    <xf numFmtId="0" fontId="23" fillId="4" borderId="0" xfId="7" applyAlignment="1">
      <alignment horizontal="right"/>
    </xf>
    <xf numFmtId="0" fontId="23" fillId="4" borderId="0" xfId="7" applyAlignment="1">
      <alignment horizontal="right" vertical="top"/>
    </xf>
    <xf numFmtId="0" fontId="39" fillId="4" borderId="0" xfId="3" applyFont="1" applyBorder="1" applyProtection="1">
      <alignment horizontal="right"/>
    </xf>
    <xf numFmtId="0" fontId="42" fillId="0" borderId="1" xfId="6" applyFont="1" applyAlignment="1">
      <alignment horizontal="center" vertical="top"/>
      <protection locked="0"/>
    </xf>
    <xf numFmtId="177" fontId="23" fillId="4" borderId="1" xfId="2" applyNumberFormat="1" applyFont="1" applyBorder="1" applyAlignment="1" applyProtection="1">
      <alignment horizontal="right"/>
      <protection locked="0"/>
    </xf>
    <xf numFmtId="0" fontId="7" fillId="37" borderId="8" xfId="0" applyFont="1" applyFill="1" applyBorder="1" applyAlignment="1"/>
    <xf numFmtId="0" fontId="15" fillId="37" borderId="0" xfId="0" applyFont="1" applyFill="1" applyAlignment="1"/>
    <xf numFmtId="0" fontId="59"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0" fillId="37" borderId="0" xfId="0" applyFont="1" applyFill="1" applyAlignment="1">
      <alignment horizontal="left"/>
    </xf>
    <xf numFmtId="0" fontId="0" fillId="37" borderId="8" xfId="0" applyFill="1" applyBorder="1">
      <alignment horizontal="right"/>
    </xf>
    <xf numFmtId="49" fontId="0" fillId="37" borderId="0" xfId="0" applyNumberFormat="1" applyFill="1" applyAlignment="1">
      <alignment horizontal="left"/>
    </xf>
    <xf numFmtId="0" fontId="32"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Fill="1" applyBorder="1">
      <alignment horizontal="right"/>
    </xf>
    <xf numFmtId="0" fontId="0" fillId="37" borderId="13" xfId="0" applyFill="1" applyBorder="1">
      <alignment horizontal="right"/>
    </xf>
    <xf numFmtId="0" fontId="0" fillId="37" borderId="14" xfId="0" applyFill="1" applyBorder="1">
      <alignment horizontal="right"/>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40" fillId="4" borderId="0" xfId="21" applyFont="1" applyBorder="1" applyAlignment="1">
      <alignment horizontal="center" vertical="center" wrapText="1"/>
    </xf>
    <xf numFmtId="175" fontId="4" fillId="4" borderId="28" xfId="22" applyNumberFormat="1" applyFont="1" applyBorder="1" applyAlignment="1">
      <alignment horizontal="right"/>
    </xf>
    <xf numFmtId="175" fontId="4" fillId="4" borderId="0" xfId="22" applyNumberFormat="1" applyFont="1" applyBorder="1" applyAlignment="1">
      <alignment horizontal="right"/>
    </xf>
    <xf numFmtId="175" fontId="4" fillId="4" borderId="38" xfId="22" applyNumberFormat="1" applyFont="1" applyBorder="1" applyAlignment="1">
      <alignment horizontal="right"/>
    </xf>
    <xf numFmtId="0" fontId="7" fillId="37" borderId="3" xfId="0" applyFont="1" applyFill="1" applyBorder="1">
      <alignment horizontal="right"/>
    </xf>
    <xf numFmtId="0" fontId="7" fillId="37" borderId="8" xfId="0" applyFont="1" applyFill="1" applyBorder="1">
      <alignment horizontal="right"/>
    </xf>
    <xf numFmtId="0" fontId="7" fillId="37" borderId="0" xfId="0" applyFont="1" applyFill="1" applyAlignment="1">
      <alignment horizontal="centerContinuous"/>
    </xf>
    <xf numFmtId="0" fontId="7" fillId="37" borderId="8" xfId="0" applyFont="1" applyFill="1" applyBorder="1" applyAlignment="1">
      <alignment horizontal="centerContinuous"/>
    </xf>
    <xf numFmtId="0" fontId="7" fillId="37" borderId="15" xfId="0" applyFont="1" applyFill="1" applyBorder="1">
      <alignment horizontal="right"/>
    </xf>
    <xf numFmtId="0" fontId="7" fillId="37" borderId="5" xfId="0" applyFont="1" applyFill="1" applyBorder="1">
      <alignment horizontal="right"/>
    </xf>
    <xf numFmtId="0" fontId="7" fillId="37" borderId="16" xfId="0" applyFont="1" applyFill="1" applyBorder="1">
      <alignment horizontal="right"/>
    </xf>
    <xf numFmtId="0" fontId="7" fillId="37" borderId="12" xfId="0" applyFont="1" applyFill="1" applyBorder="1" applyAlignment="1"/>
    <xf numFmtId="0" fontId="7" fillId="37" borderId="13" xfId="0" applyFont="1" applyFill="1" applyBorder="1" applyAlignment="1"/>
    <xf numFmtId="0" fontId="7" fillId="37" borderId="13" xfId="0" applyFont="1" applyFill="1" applyBorder="1">
      <alignment horizontal="right"/>
    </xf>
    <xf numFmtId="0" fontId="7" fillId="37" borderId="14" xfId="0" applyFont="1" applyFill="1" applyBorder="1">
      <alignment horizontal="right"/>
    </xf>
    <xf numFmtId="0" fontId="63" fillId="4" borderId="0" xfId="29" applyFont="1" applyBorder="1">
      <alignment horizontal="left"/>
    </xf>
    <xf numFmtId="175" fontId="64" fillId="4" borderId="0" xfId="22" applyNumberFormat="1" applyFont="1" applyBorder="1" applyAlignment="1">
      <alignment horizontal="right"/>
    </xf>
    <xf numFmtId="0" fontId="23" fillId="37" borderId="0" xfId="0" applyFont="1" applyFill="1" applyAlignment="1">
      <alignment horizontal="left" vertical="top" wrapText="1"/>
    </xf>
    <xf numFmtId="49" fontId="62" fillId="37" borderId="3" xfId="0" applyNumberFormat="1" applyFont="1" applyFill="1" applyBorder="1" applyAlignment="1">
      <alignment horizontal="centerContinuous"/>
    </xf>
    <xf numFmtId="0" fontId="65" fillId="37" borderId="3" xfId="0" applyFont="1" applyFill="1" applyBorder="1" applyAlignment="1">
      <alignment horizontal="centerContinuous"/>
    </xf>
    <xf numFmtId="0" fontId="4" fillId="37" borderId="17" xfId="0" applyFont="1" applyFill="1" applyBorder="1">
      <alignment horizontal="right"/>
    </xf>
    <xf numFmtId="0" fontId="4" fillId="37" borderId="9" xfId="0" applyFont="1" applyFill="1" applyBorder="1">
      <alignment horizontal="right"/>
    </xf>
    <xf numFmtId="0" fontId="67" fillId="37" borderId="0" xfId="17" applyFont="1" applyFill="1" applyAlignment="1">
      <alignment horizontal="left"/>
    </xf>
    <xf numFmtId="0" fontId="4" fillId="37" borderId="11" xfId="0" applyFont="1" applyFill="1" applyBorder="1">
      <alignment horizontal="right"/>
    </xf>
    <xf numFmtId="0" fontId="23" fillId="37" borderId="0" xfId="0" applyFont="1" applyFill="1" applyAlignment="1">
      <alignment vertical="top" wrapText="1"/>
    </xf>
    <xf numFmtId="0" fontId="68" fillId="37" borderId="0" xfId="17" applyFont="1" applyFill="1" applyAlignment="1">
      <alignment vertical="top" wrapText="1"/>
    </xf>
    <xf numFmtId="0" fontId="27" fillId="37" borderId="0" xfId="0" applyFont="1" applyFill="1" applyAlignment="1">
      <alignment vertical="top" wrapText="1"/>
    </xf>
    <xf numFmtId="0" fontId="27" fillId="37" borderId="0" xfId="0" applyFont="1" applyFill="1" applyAlignment="1">
      <alignment horizontal="left"/>
    </xf>
    <xf numFmtId="0" fontId="68" fillId="37" borderId="0" xfId="17" applyFont="1" applyFill="1" applyAlignment="1">
      <alignment horizontal="left"/>
    </xf>
    <xf numFmtId="0" fontId="4" fillId="37" borderId="3" xfId="0" applyFont="1" applyFill="1" applyBorder="1" applyAlignment="1"/>
    <xf numFmtId="0" fontId="4" fillId="37" borderId="0" xfId="0" applyFont="1" applyFill="1" applyAlignment="1">
      <alignment horizontal="left" vertical="top" wrapText="1"/>
    </xf>
    <xf numFmtId="0" fontId="4" fillId="37" borderId="8" xfId="0" applyFont="1" applyFill="1" applyBorder="1" applyAlignment="1"/>
    <xf numFmtId="0" fontId="69" fillId="37" borderId="0" xfId="78" applyFont="1" applyFill="1" applyAlignment="1">
      <alignment horizontal="left" vertical="top"/>
    </xf>
    <xf numFmtId="0" fontId="4" fillId="37" borderId="18" xfId="0" applyFont="1" applyFill="1" applyBorder="1" applyAlignment="1"/>
    <xf numFmtId="0" fontId="4" fillId="37" borderId="6" xfId="0" applyFont="1" applyFill="1" applyBorder="1" applyAlignment="1"/>
    <xf numFmtId="0" fontId="70" fillId="5" borderId="3" xfId="12" applyFont="1" applyBorder="1" applyAlignment="1">
      <alignment horizontal="left" indent="1"/>
    </xf>
    <xf numFmtId="0" fontId="71" fillId="37" borderId="0" xfId="0" applyFont="1" applyFill="1" applyAlignment="1">
      <alignment horizontal="left" vertical="center"/>
    </xf>
    <xf numFmtId="15" fontId="61" fillId="37" borderId="0" xfId="0" applyNumberFormat="1" applyFont="1" applyFill="1" applyAlignment="1">
      <alignment horizontal="centerContinuous"/>
    </xf>
    <xf numFmtId="0" fontId="61" fillId="37" borderId="0" xfId="0" applyFont="1" applyFill="1" applyAlignment="1">
      <alignment horizontal="center" vertical="center"/>
    </xf>
    <xf numFmtId="0" fontId="72" fillId="37" borderId="0" xfId="0" applyFont="1" applyFill="1" applyAlignment="1">
      <alignment horizontal="left"/>
    </xf>
    <xf numFmtId="0" fontId="7" fillId="37" borderId="0" xfId="0" applyFont="1" applyFill="1" applyAlignment="1">
      <alignment horizontal="left"/>
    </xf>
    <xf numFmtId="0" fontId="7" fillId="37" borderId="8" xfId="0" applyFont="1" applyFill="1" applyBorder="1" applyAlignment="1">
      <alignment horizontal="left"/>
    </xf>
    <xf numFmtId="0" fontId="22" fillId="0" borderId="1" xfId="6" applyAlignment="1">
      <alignment vertical="top" wrapText="1"/>
      <protection locked="0"/>
    </xf>
    <xf numFmtId="0" fontId="42" fillId="0" borderId="1" xfId="6" applyFont="1" applyAlignment="1">
      <alignment horizontal="center" vertical="top" wrapText="1"/>
      <protection locked="0"/>
    </xf>
    <xf numFmtId="0" fontId="66" fillId="37" borderId="24" xfId="0" applyFont="1" applyFill="1" applyBorder="1">
      <alignment horizontal="right"/>
    </xf>
    <xf numFmtId="0" fontId="66" fillId="37" borderId="25" xfId="0" applyFont="1" applyFill="1" applyBorder="1">
      <alignment horizontal="right"/>
    </xf>
    <xf numFmtId="0" fontId="20" fillId="5" borderId="1" xfId="5">
      <alignment horizontal="center"/>
    </xf>
    <xf numFmtId="169" fontId="20" fillId="5" borderId="21" xfId="10" applyBorder="1">
      <alignment horizontal="center" vertical="center"/>
    </xf>
    <xf numFmtId="169" fontId="20" fillId="5" borderId="26" xfId="10" applyBorder="1">
      <alignment horizontal="center" vertical="center"/>
    </xf>
    <xf numFmtId="169" fontId="20" fillId="5" borderId="27" xfId="10" applyBorder="1">
      <alignment horizontal="center" vertical="center"/>
    </xf>
    <xf numFmtId="0" fontId="23" fillId="4" borderId="0" xfId="29" applyBorder="1">
      <alignment horizontal="left"/>
    </xf>
    <xf numFmtId="0" fontId="21" fillId="4" borderId="0" xfId="31" applyBorder="1">
      <alignment horizontal="center" wrapText="1"/>
    </xf>
    <xf numFmtId="0" fontId="0" fillId="0" borderId="0" xfId="0">
      <alignment horizontal="right"/>
    </xf>
    <xf numFmtId="0" fontId="23" fillId="5" borderId="3" xfId="15" applyFont="1" applyBorder="1" applyAlignment="1">
      <alignment horizontal="left" vertical="top" wrapText="1" indent="1"/>
    </xf>
    <xf numFmtId="0" fontId="23" fillId="5" borderId="0" xfId="15" applyFont="1" applyBorder="1" applyAlignment="1">
      <alignment horizontal="left" vertical="top" wrapText="1" indent="1"/>
    </xf>
    <xf numFmtId="0" fontId="31" fillId="4" borderId="0" xfId="19" applyFont="1" applyBorder="1"/>
    <xf numFmtId="169" fontId="20" fillId="5" borderId="1" xfId="10">
      <alignment horizontal="center" vertical="center"/>
    </xf>
    <xf numFmtId="0" fontId="23" fillId="4" borderId="0" xfId="7" applyAlignment="1">
      <alignment wrapText="1"/>
    </xf>
    <xf numFmtId="0" fontId="31" fillId="4" borderId="0" xfId="21" applyBorder="1">
      <alignment horizontal="center" wrapText="1"/>
    </xf>
    <xf numFmtId="0" fontId="31" fillId="4" borderId="0" xfId="21" applyBorder="1" applyAlignment="1">
      <alignment horizontal="center" vertical="center" wrapText="1"/>
    </xf>
    <xf numFmtId="0" fontId="31" fillId="4" borderId="10" xfId="21" applyBorder="1" applyAlignment="1">
      <alignment horizontal="center" vertical="center" wrapText="1"/>
    </xf>
    <xf numFmtId="0" fontId="27" fillId="5" borderId="3" xfId="15" applyBorder="1" applyAlignment="1">
      <alignment horizontal="left" vertical="top" wrapText="1" indent="1"/>
    </xf>
    <xf numFmtId="0" fontId="27" fillId="5" borderId="0" xfId="15" applyBorder="1" applyAlignment="1">
      <alignment horizontal="left" vertical="top" wrapText="1" indent="1"/>
    </xf>
    <xf numFmtId="0" fontId="20" fillId="0" borderId="1" xfId="1">
      <alignment horizontal="center" vertical="center"/>
      <protection locked="0"/>
    </xf>
    <xf numFmtId="169" fontId="20" fillId="5" borderId="21" xfId="10" applyBorder="1" applyAlignment="1">
      <alignment horizontal="center" vertical="center" wrapText="1"/>
    </xf>
    <xf numFmtId="169" fontId="20" fillId="5" borderId="27" xfId="10" applyBorder="1" applyAlignment="1">
      <alignment horizontal="center" vertical="center" wrapText="1"/>
    </xf>
    <xf numFmtId="0" fontId="20" fillId="5" borderId="21" xfId="5" applyBorder="1" applyAlignment="1">
      <alignment horizontal="center" wrapText="1"/>
    </xf>
    <xf numFmtId="0" fontId="20" fillId="5" borderId="27" xfId="5" applyBorder="1" applyAlignment="1">
      <alignment horizontal="center" wrapText="1"/>
    </xf>
    <xf numFmtId="0" fontId="20" fillId="0" borderId="21" xfId="1" applyBorder="1" applyAlignment="1">
      <alignment horizontal="center" wrapText="1"/>
      <protection locked="0"/>
    </xf>
    <xf numFmtId="0" fontId="20"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BA40-8D9C-42E2-9B3D-FF7CAAE85C41}">
  <sheetPr>
    <tabColor indexed="10"/>
    <pageSetUpPr fitToPage="1"/>
  </sheetPr>
  <dimension ref="A1:D17"/>
  <sheetViews>
    <sheetView showGridLines="0" view="pageBreakPreview" zoomScaleNormal="100" zoomScaleSheetLayoutView="100" workbookViewId="0">
      <selection activeCell="C11" sqref="C11"/>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61"/>
      <c r="B1" s="162"/>
      <c r="C1" s="162"/>
      <c r="D1" s="163"/>
    </row>
    <row r="2" spans="1:4" ht="236.25" customHeight="1" x14ac:dyDescent="0.2">
      <c r="A2" s="173"/>
      <c r="B2" s="168"/>
      <c r="C2" s="168"/>
      <c r="D2" s="174"/>
    </row>
    <row r="3" spans="1:4" ht="23.25" x14ac:dyDescent="0.35">
      <c r="A3" s="188"/>
      <c r="B3" s="208" t="s">
        <v>601</v>
      </c>
      <c r="C3" s="209"/>
      <c r="D3" s="210"/>
    </row>
    <row r="4" spans="1:4" ht="27.75" customHeight="1" x14ac:dyDescent="0.35">
      <c r="A4" s="188"/>
      <c r="B4" s="205" t="s">
        <v>600</v>
      </c>
      <c r="C4" s="205" t="s">
        <v>602</v>
      </c>
      <c r="D4" s="176"/>
    </row>
    <row r="5" spans="1:4" ht="27.75" customHeight="1" x14ac:dyDescent="0.35">
      <c r="A5" s="188" t="s">
        <v>0</v>
      </c>
      <c r="B5" s="175"/>
      <c r="C5" s="175"/>
      <c r="D5" s="176"/>
    </row>
    <row r="6" spans="1:4" x14ac:dyDescent="0.2">
      <c r="B6" s="175"/>
      <c r="C6" s="175"/>
      <c r="D6" s="176"/>
    </row>
    <row r="7" spans="1:4" ht="60" customHeight="1" x14ac:dyDescent="0.2">
      <c r="A7" s="164"/>
      <c r="B7" s="175"/>
      <c r="C7" s="175"/>
      <c r="D7" s="176"/>
    </row>
    <row r="8" spans="1:4" ht="15" customHeight="1" x14ac:dyDescent="0.2">
      <c r="A8" s="173"/>
      <c r="B8" s="167" t="s">
        <v>1</v>
      </c>
      <c r="C8" s="36" t="s">
        <v>604</v>
      </c>
      <c r="D8" s="148"/>
    </row>
    <row r="9" spans="1:4" ht="3" customHeight="1" x14ac:dyDescent="0.2">
      <c r="A9" s="173"/>
      <c r="B9" s="168"/>
      <c r="C9" s="168"/>
      <c r="D9" s="174"/>
    </row>
    <row r="10" spans="1:4" ht="15" customHeight="1" x14ac:dyDescent="0.2">
      <c r="A10" s="173"/>
      <c r="B10" s="167" t="s">
        <v>2</v>
      </c>
      <c r="C10" s="35">
        <v>45382</v>
      </c>
      <c r="D10" s="174"/>
    </row>
    <row r="11" spans="1:4" ht="3" customHeight="1" x14ac:dyDescent="0.2">
      <c r="A11" s="173"/>
      <c r="B11" s="168"/>
      <c r="C11" s="168"/>
      <c r="D11" s="174"/>
    </row>
    <row r="12" spans="1:4" ht="15" customHeight="1" x14ac:dyDescent="0.2">
      <c r="A12" s="173"/>
      <c r="B12" s="167" t="s">
        <v>3</v>
      </c>
      <c r="C12" s="35">
        <v>45383</v>
      </c>
      <c r="D12" s="174"/>
    </row>
    <row r="13" spans="1:4" ht="15" customHeight="1" x14ac:dyDescent="0.2">
      <c r="A13" s="173"/>
      <c r="B13" s="151"/>
      <c r="C13" s="151"/>
      <c r="D13" s="174"/>
    </row>
    <row r="14" spans="1:4" ht="15" customHeight="1" x14ac:dyDescent="0.2">
      <c r="A14" s="173"/>
      <c r="B14" s="151"/>
      <c r="C14" s="151"/>
      <c r="D14" s="176"/>
    </row>
    <row r="15" spans="1:4" ht="15" customHeight="1" x14ac:dyDescent="0.2">
      <c r="A15" s="165"/>
      <c r="B15" s="166"/>
      <c r="C15" s="175"/>
      <c r="D15" s="176"/>
    </row>
    <row r="16" spans="1:4" x14ac:dyDescent="0.2">
      <c r="A16" s="187"/>
      <c r="B16" s="206"/>
      <c r="C16" s="207"/>
      <c r="D16" s="176"/>
    </row>
    <row r="17" spans="1:4" ht="39.950000000000003" customHeight="1" x14ac:dyDescent="0.2">
      <c r="A17" s="177"/>
      <c r="B17" s="178"/>
      <c r="C17" s="178"/>
      <c r="D17" s="179"/>
    </row>
  </sheetData>
  <sheetProtection formatRows="0" insertRows="0"/>
  <dataValidations count="2">
    <dataValidation allowBlank="1" showInputMessage="1" promptTitle="Name of regulated entity" prompt=" " sqref="C8" xr:uid="{FC71A19E-1589-464E-A81D-C147CDB21521}"/>
    <dataValidation type="date" operator="greaterThan" allowBlank="1" showInputMessage="1" showErrorMessage="1" errorTitle="Date entry" error="Dates after 1 January 2011 accepted" promptTitle="Date entry" prompt=" " sqref="C12 C10" xr:uid="{215B5669-54C5-4778-AE3B-E09189B35CCA}">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15" t="str">
        <f>IF(NOT(ISBLANK(CoverSheet!$C$8)),CoverSheet!$C$8,"")</f>
        <v>Aurora Energy Limited</v>
      </c>
      <c r="L2" s="215"/>
      <c r="M2" s="215"/>
      <c r="N2" s="12"/>
    </row>
    <row r="3" spans="1:14" ht="18" customHeight="1" x14ac:dyDescent="0.3">
      <c r="A3" s="20"/>
      <c r="B3" s="37"/>
      <c r="C3" s="37"/>
      <c r="D3" s="37"/>
      <c r="E3" s="37"/>
      <c r="F3" s="37"/>
      <c r="G3" s="37"/>
      <c r="H3" s="37"/>
      <c r="I3" s="15"/>
      <c r="J3" s="31" t="s">
        <v>37</v>
      </c>
      <c r="K3" s="225" t="str">
        <f>IF(ISNUMBER(CoverSheet!$C$12),TEXT(CoverSheet!$C$12,"_([$-1409]d mmmm yyyy;_(@")&amp;" –"&amp;TEXT(DATE(YEAR(CoverSheet!$C$12)+10,MONTH(CoverSheet!$C$12),DAY(CoverSheet!$C$12)-1),"_([$-1409]d mmmm yyyy;_(@"),"")</f>
        <v xml:space="preserve"> 1 April 2024 – 31 March 2034</v>
      </c>
      <c r="L3" s="225"/>
      <c r="M3" s="225"/>
      <c r="N3" s="12"/>
    </row>
    <row r="4" spans="1:14" ht="18" customHeight="1" x14ac:dyDescent="0.35">
      <c r="A4" s="51"/>
      <c r="B4" s="37"/>
      <c r="C4" s="37"/>
      <c r="D4" s="37"/>
      <c r="E4" s="37"/>
      <c r="F4" s="37"/>
      <c r="G4" s="37"/>
      <c r="H4" s="37"/>
      <c r="I4" s="29"/>
      <c r="J4" s="31" t="s">
        <v>296</v>
      </c>
      <c r="K4" s="232" t="s">
        <v>699</v>
      </c>
      <c r="L4" s="232"/>
      <c r="M4" s="232"/>
      <c r="N4" s="12"/>
    </row>
    <row r="5" spans="1:14" ht="21" x14ac:dyDescent="0.35">
      <c r="A5" s="54" t="s">
        <v>297</v>
      </c>
      <c r="B5" s="37"/>
      <c r="C5" s="37"/>
      <c r="D5" s="37"/>
      <c r="E5" s="37"/>
      <c r="F5" s="37"/>
      <c r="G5" s="37"/>
      <c r="H5" s="37"/>
      <c r="I5" s="29"/>
      <c r="J5" s="31"/>
      <c r="K5" s="31"/>
      <c r="L5" s="31"/>
      <c r="M5" s="31"/>
      <c r="N5" s="12"/>
    </row>
    <row r="6" spans="1:14" s="3" customFormat="1" ht="33" customHeight="1" x14ac:dyDescent="0.2">
      <c r="A6" s="230" t="s">
        <v>298</v>
      </c>
      <c r="B6" s="231"/>
      <c r="C6" s="231"/>
      <c r="D6" s="231"/>
      <c r="E6" s="231"/>
      <c r="F6" s="231"/>
      <c r="G6" s="231"/>
      <c r="H6" s="231"/>
      <c r="I6" s="231"/>
      <c r="J6" s="231"/>
      <c r="K6" s="231"/>
      <c r="L6" s="231"/>
      <c r="M6" s="231"/>
      <c r="N6" s="32"/>
    </row>
    <row r="7" spans="1:14" ht="15" customHeight="1" x14ac:dyDescent="0.2">
      <c r="A7" s="25" t="s">
        <v>39</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40</v>
      </c>
      <c r="I8" s="21" t="s">
        <v>41</v>
      </c>
      <c r="J8" s="21" t="s">
        <v>42</v>
      </c>
      <c r="K8" s="21" t="s">
        <v>43</v>
      </c>
      <c r="L8" s="21" t="s">
        <v>44</v>
      </c>
      <c r="M8" s="21" t="s">
        <v>45</v>
      </c>
      <c r="N8" s="24"/>
    </row>
    <row r="9" spans="1:14" ht="12.75" customHeight="1" x14ac:dyDescent="0.2">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299</v>
      </c>
      <c r="F10" s="52"/>
      <c r="G10" s="143"/>
      <c r="H10" s="44"/>
      <c r="I10" s="39"/>
      <c r="J10" s="39"/>
      <c r="K10" s="39"/>
      <c r="L10" s="39"/>
      <c r="M10" s="39"/>
      <c r="N10" s="7"/>
    </row>
    <row r="11" spans="1:14" ht="15" customHeight="1" x14ac:dyDescent="0.2">
      <c r="A11" s="30">
        <v>11</v>
      </c>
      <c r="B11" s="49"/>
      <c r="C11" s="23"/>
      <c r="D11" s="49"/>
      <c r="E11" s="52"/>
      <c r="F11" s="52" t="s">
        <v>300</v>
      </c>
      <c r="G11" s="46"/>
      <c r="H11" s="131">
        <v>126.96</v>
      </c>
      <c r="I11" s="131">
        <v>79.999092571145241</v>
      </c>
      <c r="J11" s="131">
        <v>96.846189485912632</v>
      </c>
      <c r="K11" s="131">
        <v>98.232056746887679</v>
      </c>
      <c r="L11" s="131">
        <v>89.706101018257812</v>
      </c>
      <c r="M11" s="131">
        <v>79.630059463068235</v>
      </c>
      <c r="N11" s="7"/>
    </row>
    <row r="12" spans="1:14" ht="15" customHeight="1" x14ac:dyDescent="0.2">
      <c r="A12" s="30">
        <v>12</v>
      </c>
      <c r="B12" s="49"/>
      <c r="C12" s="23"/>
      <c r="D12" s="49"/>
      <c r="E12" s="52"/>
      <c r="F12" s="52" t="s">
        <v>301</v>
      </c>
      <c r="G12" s="50"/>
      <c r="H12" s="131">
        <v>71.54139439787366</v>
      </c>
      <c r="I12" s="131">
        <v>72.847656528731761</v>
      </c>
      <c r="J12" s="131">
        <v>72.847656528731761</v>
      </c>
      <c r="K12" s="131">
        <v>71.567778313572148</v>
      </c>
      <c r="L12" s="131">
        <v>70.438474006078366</v>
      </c>
      <c r="M12" s="131">
        <v>69.309169698584597</v>
      </c>
      <c r="N12" s="7"/>
    </row>
    <row r="13" spans="1:14" ht="30" customHeight="1" x14ac:dyDescent="0.2">
      <c r="A13" s="30">
        <v>13</v>
      </c>
      <c r="B13" s="49"/>
      <c r="C13" s="52"/>
      <c r="D13" s="49"/>
      <c r="E13" s="45" t="s">
        <v>302</v>
      </c>
      <c r="F13" s="52"/>
      <c r="G13" s="49"/>
      <c r="H13" s="49"/>
      <c r="I13" s="49"/>
      <c r="J13" s="49"/>
      <c r="K13" s="49"/>
      <c r="L13" s="49"/>
      <c r="M13" s="49"/>
      <c r="N13" s="7"/>
    </row>
    <row r="14" spans="1:14" ht="15" customHeight="1" x14ac:dyDescent="0.2">
      <c r="A14" s="30">
        <v>14</v>
      </c>
      <c r="B14" s="49"/>
      <c r="C14" s="23"/>
      <c r="D14" s="49"/>
      <c r="E14" s="52"/>
      <c r="F14" s="52" t="s">
        <v>300</v>
      </c>
      <c r="G14" s="50"/>
      <c r="H14" s="127">
        <v>0.48</v>
      </c>
      <c r="I14" s="127">
        <v>0.38185403143317576</v>
      </c>
      <c r="J14" s="127">
        <v>0.44894413706635505</v>
      </c>
      <c r="K14" s="127">
        <v>0.44641564483167762</v>
      </c>
      <c r="L14" s="127">
        <v>0.41268462441339498</v>
      </c>
      <c r="M14" s="127">
        <v>0.37288088616763188</v>
      </c>
      <c r="N14" s="7"/>
    </row>
    <row r="15" spans="1:14" ht="15" customHeight="1" x14ac:dyDescent="0.2">
      <c r="A15" s="30">
        <v>15</v>
      </c>
      <c r="B15" s="49"/>
      <c r="C15" s="23"/>
      <c r="D15" s="49"/>
      <c r="E15" s="52"/>
      <c r="F15" s="52" t="s">
        <v>301</v>
      </c>
      <c r="G15" s="50"/>
      <c r="H15" s="127">
        <v>0.97912492332856282</v>
      </c>
      <c r="I15" s="127">
        <v>0.99387783099392946</v>
      </c>
      <c r="J15" s="127">
        <v>0.99387783099392946</v>
      </c>
      <c r="K15" s="127">
        <v>0.98766609455021737</v>
      </c>
      <c r="L15" s="127">
        <v>0.98145435810650539</v>
      </c>
      <c r="M15" s="127">
        <v>0.96903088521908121</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F179-406F-409C-9A7C-E560AC0222A5}">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15" t="str">
        <f>IF(NOT(ISBLANK(CoverSheet!$C$8)),CoverSheet!$C$8,"")</f>
        <v>Aurora Energy Limited</v>
      </c>
      <c r="L2" s="215"/>
      <c r="M2" s="215"/>
      <c r="N2" s="12"/>
    </row>
    <row r="3" spans="1:14" ht="18" customHeight="1" x14ac:dyDescent="0.3">
      <c r="A3" s="20"/>
      <c r="B3" s="37"/>
      <c r="C3" s="37"/>
      <c r="D3" s="37"/>
      <c r="E3" s="37"/>
      <c r="F3" s="37"/>
      <c r="G3" s="37"/>
      <c r="H3" s="37"/>
      <c r="I3" s="15"/>
      <c r="J3" s="31" t="s">
        <v>37</v>
      </c>
      <c r="K3" s="225" t="str">
        <f>IF(ISNUMBER(CoverSheet!$C$12),TEXT(CoverSheet!$C$12,"_([$-1409]d mmmm yyyy;_(@")&amp;" –"&amp;TEXT(DATE(YEAR(CoverSheet!$C$12)+10,MONTH(CoverSheet!$C$12),DAY(CoverSheet!$C$12)-1),"_([$-1409]d mmmm yyyy;_(@"),"")</f>
        <v xml:space="preserve"> 1 April 2024 – 31 March 2034</v>
      </c>
      <c r="L3" s="225"/>
      <c r="M3" s="225"/>
      <c r="N3" s="12"/>
    </row>
    <row r="4" spans="1:14" ht="18" customHeight="1" x14ac:dyDescent="0.35">
      <c r="A4" s="51"/>
      <c r="B4" s="37"/>
      <c r="C4" s="37"/>
      <c r="D4" s="37"/>
      <c r="E4" s="37"/>
      <c r="F4" s="37"/>
      <c r="G4" s="37"/>
      <c r="H4" s="37"/>
      <c r="I4" s="29"/>
      <c r="J4" s="31" t="s">
        <v>296</v>
      </c>
      <c r="K4" s="232" t="s">
        <v>700</v>
      </c>
      <c r="L4" s="232"/>
      <c r="M4" s="232"/>
      <c r="N4" s="12"/>
    </row>
    <row r="5" spans="1:14" ht="21" x14ac:dyDescent="0.35">
      <c r="A5" s="54" t="s">
        <v>297</v>
      </c>
      <c r="B5" s="37"/>
      <c r="C5" s="37"/>
      <c r="D5" s="37"/>
      <c r="E5" s="37"/>
      <c r="F5" s="37"/>
      <c r="G5" s="37"/>
      <c r="H5" s="37"/>
      <c r="I5" s="29"/>
      <c r="J5" s="31"/>
      <c r="K5" s="31"/>
      <c r="L5" s="31"/>
      <c r="M5" s="31"/>
      <c r="N5" s="12"/>
    </row>
    <row r="6" spans="1:14" s="3" customFormat="1" ht="33" customHeight="1" x14ac:dyDescent="0.2">
      <c r="A6" s="230" t="s">
        <v>298</v>
      </c>
      <c r="B6" s="231"/>
      <c r="C6" s="231"/>
      <c r="D6" s="231"/>
      <c r="E6" s="231"/>
      <c r="F6" s="231"/>
      <c r="G6" s="231"/>
      <c r="H6" s="231"/>
      <c r="I6" s="231"/>
      <c r="J6" s="231"/>
      <c r="K6" s="231"/>
      <c r="L6" s="231"/>
      <c r="M6" s="231"/>
      <c r="N6" s="32"/>
    </row>
    <row r="7" spans="1:14" ht="15" customHeight="1" x14ac:dyDescent="0.2">
      <c r="A7" s="25" t="s">
        <v>39</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40</v>
      </c>
      <c r="I8" s="21" t="s">
        <v>41</v>
      </c>
      <c r="J8" s="21" t="s">
        <v>42</v>
      </c>
      <c r="K8" s="21" t="s">
        <v>43</v>
      </c>
      <c r="L8" s="21" t="s">
        <v>44</v>
      </c>
      <c r="M8" s="21" t="s">
        <v>45</v>
      </c>
      <c r="N8" s="24"/>
    </row>
    <row r="9" spans="1:14" ht="12.75" customHeight="1" x14ac:dyDescent="0.2">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299</v>
      </c>
      <c r="F10" s="52"/>
      <c r="G10" s="143"/>
      <c r="H10" s="44"/>
      <c r="I10" s="39"/>
      <c r="J10" s="39"/>
      <c r="K10" s="39"/>
      <c r="L10" s="39"/>
      <c r="M10" s="39"/>
      <c r="N10" s="7"/>
    </row>
    <row r="11" spans="1:14" ht="15" customHeight="1" x14ac:dyDescent="0.2">
      <c r="A11" s="30">
        <v>11</v>
      </c>
      <c r="B11" s="49"/>
      <c r="C11" s="23"/>
      <c r="D11" s="49"/>
      <c r="E11" s="52"/>
      <c r="F11" s="52" t="s">
        <v>300</v>
      </c>
      <c r="G11" s="46"/>
      <c r="H11" s="131">
        <v>282.58</v>
      </c>
      <c r="I11" s="131">
        <v>282.23029839032341</v>
      </c>
      <c r="J11" s="131">
        <v>212.67512821606658</v>
      </c>
      <c r="K11" s="131">
        <v>198.25656973759911</v>
      </c>
      <c r="L11" s="131">
        <v>289.50430493941241</v>
      </c>
      <c r="M11" s="131">
        <v>264.67360685293346</v>
      </c>
      <c r="N11" s="7"/>
    </row>
    <row r="12" spans="1:14" ht="15" customHeight="1" x14ac:dyDescent="0.2">
      <c r="A12" s="30">
        <v>12</v>
      </c>
      <c r="B12" s="49"/>
      <c r="C12" s="23"/>
      <c r="D12" s="49"/>
      <c r="E12" s="52"/>
      <c r="F12" s="52" t="s">
        <v>301</v>
      </c>
      <c r="G12" s="50"/>
      <c r="H12" s="131">
        <v>281.74863627070135</v>
      </c>
      <c r="I12" s="131">
        <v>278.3958915557497</v>
      </c>
      <c r="J12" s="131">
        <v>278.3958915557497</v>
      </c>
      <c r="K12" s="131">
        <v>273.50468635065687</v>
      </c>
      <c r="L12" s="131">
        <v>269.18891705204567</v>
      </c>
      <c r="M12" s="131">
        <v>264.87314775343441</v>
      </c>
      <c r="N12" s="7"/>
    </row>
    <row r="13" spans="1:14" ht="30" customHeight="1" x14ac:dyDescent="0.2">
      <c r="A13" s="30">
        <v>13</v>
      </c>
      <c r="B13" s="49"/>
      <c r="C13" s="52"/>
      <c r="D13" s="49"/>
      <c r="E13" s="45" t="s">
        <v>302</v>
      </c>
      <c r="F13" s="52"/>
      <c r="G13" s="49"/>
      <c r="H13" s="49"/>
      <c r="I13" s="49"/>
      <c r="J13" s="49"/>
      <c r="K13" s="49"/>
      <c r="L13" s="49"/>
      <c r="M13" s="49"/>
      <c r="N13" s="7"/>
    </row>
    <row r="14" spans="1:14" ht="15" customHeight="1" x14ac:dyDescent="0.2">
      <c r="A14" s="30">
        <v>14</v>
      </c>
      <c r="B14" s="49"/>
      <c r="C14" s="23"/>
      <c r="D14" s="49"/>
      <c r="E14" s="52"/>
      <c r="F14" s="52" t="s">
        <v>300</v>
      </c>
      <c r="G14" s="50"/>
      <c r="H14" s="127">
        <v>0.94</v>
      </c>
      <c r="I14" s="127">
        <v>1.148147915295092</v>
      </c>
      <c r="J14" s="127">
        <v>0.92513696435576676</v>
      </c>
      <c r="K14" s="127">
        <v>0.86097269165722268</v>
      </c>
      <c r="L14" s="127">
        <v>1.2490680664283844</v>
      </c>
      <c r="M14" s="127">
        <v>1.1298675787638393</v>
      </c>
      <c r="N14" s="7"/>
    </row>
    <row r="15" spans="1:14" ht="15" customHeight="1" x14ac:dyDescent="0.2">
      <c r="A15" s="30">
        <v>15</v>
      </c>
      <c r="B15" s="49"/>
      <c r="C15" s="23"/>
      <c r="D15" s="49"/>
      <c r="E15" s="52"/>
      <c r="F15" s="52" t="s">
        <v>301</v>
      </c>
      <c r="G15" s="50"/>
      <c r="H15" s="127">
        <v>4.3081496626456763</v>
      </c>
      <c r="I15" s="127">
        <v>3.798221082759472</v>
      </c>
      <c r="J15" s="127">
        <v>3.798221082759472</v>
      </c>
      <c r="K15" s="127">
        <v>3.7744822009922254</v>
      </c>
      <c r="L15" s="127">
        <v>3.7507433192249788</v>
      </c>
      <c r="M15" s="127">
        <v>3.7032655556904852</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539B699B-0AB4-4AE4-87F7-27ADB278E0C5}"/>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24FF-2F68-4E24-8677-EB9079D14E67}">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15" t="str">
        <f>IF(NOT(ISBLANK(CoverSheet!$C$8)),CoverSheet!$C$8,"")</f>
        <v>Aurora Energy Limited</v>
      </c>
      <c r="L2" s="215"/>
      <c r="M2" s="215"/>
      <c r="N2" s="12"/>
    </row>
    <row r="3" spans="1:14" ht="18" customHeight="1" x14ac:dyDescent="0.3">
      <c r="A3" s="20"/>
      <c r="B3" s="37"/>
      <c r="C3" s="37"/>
      <c r="D3" s="37"/>
      <c r="E3" s="37"/>
      <c r="F3" s="37"/>
      <c r="G3" s="37"/>
      <c r="H3" s="37"/>
      <c r="I3" s="15"/>
      <c r="J3" s="31" t="s">
        <v>37</v>
      </c>
      <c r="K3" s="225" t="str">
        <f>IF(ISNUMBER(CoverSheet!$C$12),TEXT(CoverSheet!$C$12,"_([$-1409]d mmmm yyyy;_(@")&amp;" –"&amp;TEXT(DATE(YEAR(CoverSheet!$C$12)+10,MONTH(CoverSheet!$C$12),DAY(CoverSheet!$C$12)-1),"_([$-1409]d mmmm yyyy;_(@"),"")</f>
        <v xml:space="preserve"> 1 April 2024 – 31 March 2034</v>
      </c>
      <c r="L3" s="225"/>
      <c r="M3" s="225"/>
      <c r="N3" s="12"/>
    </row>
    <row r="4" spans="1:14" ht="18" customHeight="1" x14ac:dyDescent="0.35">
      <c r="A4" s="51"/>
      <c r="B4" s="37"/>
      <c r="C4" s="37"/>
      <c r="D4" s="37"/>
      <c r="E4" s="37"/>
      <c r="F4" s="37"/>
      <c r="G4" s="37"/>
      <c r="H4" s="37"/>
      <c r="I4" s="29"/>
      <c r="J4" s="31" t="s">
        <v>296</v>
      </c>
      <c r="K4" s="232" t="s">
        <v>701</v>
      </c>
      <c r="L4" s="232"/>
      <c r="M4" s="232"/>
      <c r="N4" s="12"/>
    </row>
    <row r="5" spans="1:14" ht="21" x14ac:dyDescent="0.35">
      <c r="A5" s="54" t="s">
        <v>297</v>
      </c>
      <c r="B5" s="37"/>
      <c r="C5" s="37"/>
      <c r="D5" s="37"/>
      <c r="E5" s="37"/>
      <c r="F5" s="37"/>
      <c r="G5" s="37"/>
      <c r="H5" s="37"/>
      <c r="I5" s="29"/>
      <c r="J5" s="31"/>
      <c r="K5" s="31"/>
      <c r="L5" s="31"/>
      <c r="M5" s="31"/>
      <c r="N5" s="12"/>
    </row>
    <row r="6" spans="1:14" s="3" customFormat="1" ht="33" customHeight="1" x14ac:dyDescent="0.2">
      <c r="A6" s="230" t="s">
        <v>298</v>
      </c>
      <c r="B6" s="231"/>
      <c r="C6" s="231"/>
      <c r="D6" s="231"/>
      <c r="E6" s="231"/>
      <c r="F6" s="231"/>
      <c r="G6" s="231"/>
      <c r="H6" s="231"/>
      <c r="I6" s="231"/>
      <c r="J6" s="231"/>
      <c r="K6" s="231"/>
      <c r="L6" s="231"/>
      <c r="M6" s="231"/>
      <c r="N6" s="32"/>
    </row>
    <row r="7" spans="1:14" ht="15" customHeight="1" x14ac:dyDescent="0.2">
      <c r="A7" s="25" t="s">
        <v>39</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40</v>
      </c>
      <c r="I8" s="21" t="s">
        <v>41</v>
      </c>
      <c r="J8" s="21" t="s">
        <v>42</v>
      </c>
      <c r="K8" s="21" t="s">
        <v>43</v>
      </c>
      <c r="L8" s="21" t="s">
        <v>44</v>
      </c>
      <c r="M8" s="21" t="s">
        <v>45</v>
      </c>
      <c r="N8" s="24"/>
    </row>
    <row r="9" spans="1:14" ht="12.75" customHeight="1" x14ac:dyDescent="0.2">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299</v>
      </c>
      <c r="F10" s="52"/>
      <c r="G10" s="143"/>
      <c r="H10" s="44"/>
      <c r="I10" s="39"/>
      <c r="J10" s="39"/>
      <c r="K10" s="39"/>
      <c r="L10" s="39"/>
      <c r="M10" s="39"/>
      <c r="N10" s="7"/>
    </row>
    <row r="11" spans="1:14" ht="15" customHeight="1" x14ac:dyDescent="0.2">
      <c r="A11" s="30">
        <v>11</v>
      </c>
      <c r="B11" s="49"/>
      <c r="C11" s="23"/>
      <c r="D11" s="49"/>
      <c r="E11" s="52"/>
      <c r="F11" s="52" t="s">
        <v>300</v>
      </c>
      <c r="G11" s="46"/>
      <c r="H11" s="131">
        <v>206.76</v>
      </c>
      <c r="I11" s="131">
        <v>178.87884159220144</v>
      </c>
      <c r="J11" s="131">
        <v>178.87884159220144</v>
      </c>
      <c r="K11" s="131">
        <v>188.73151062984024</v>
      </c>
      <c r="L11" s="131">
        <v>216.5649716709992</v>
      </c>
      <c r="M11" s="131">
        <v>183.20072680611969</v>
      </c>
      <c r="N11" s="7"/>
    </row>
    <row r="12" spans="1:14" ht="15" customHeight="1" x14ac:dyDescent="0.2">
      <c r="A12" s="30">
        <v>12</v>
      </c>
      <c r="B12" s="49"/>
      <c r="C12" s="23"/>
      <c r="D12" s="49"/>
      <c r="E12" s="52"/>
      <c r="F12" s="52" t="s">
        <v>301</v>
      </c>
      <c r="G12" s="50"/>
      <c r="H12" s="131">
        <v>270.56485381312615</v>
      </c>
      <c r="I12" s="131">
        <v>205.19218589683672</v>
      </c>
      <c r="J12" s="131">
        <v>205.19218589683672</v>
      </c>
      <c r="K12" s="131">
        <v>201.58711442076577</v>
      </c>
      <c r="L12" s="131">
        <v>198.40616900070319</v>
      </c>
      <c r="M12" s="131">
        <v>195.2252235806406</v>
      </c>
      <c r="N12" s="7"/>
    </row>
    <row r="13" spans="1:14" ht="30" customHeight="1" x14ac:dyDescent="0.2">
      <c r="A13" s="30">
        <v>13</v>
      </c>
      <c r="B13" s="49"/>
      <c r="C13" s="52"/>
      <c r="D13" s="49"/>
      <c r="E13" s="45" t="s">
        <v>302</v>
      </c>
      <c r="F13" s="52"/>
      <c r="G13" s="49"/>
      <c r="H13" s="49"/>
      <c r="I13" s="49"/>
      <c r="J13" s="49"/>
      <c r="K13" s="49"/>
      <c r="L13" s="49"/>
      <c r="M13" s="49"/>
      <c r="N13" s="7"/>
    </row>
    <row r="14" spans="1:14" ht="15" customHeight="1" x14ac:dyDescent="0.2">
      <c r="A14" s="30">
        <v>14</v>
      </c>
      <c r="B14" s="49"/>
      <c r="C14" s="23"/>
      <c r="D14" s="49"/>
      <c r="E14" s="52"/>
      <c r="F14" s="52" t="s">
        <v>300</v>
      </c>
      <c r="G14" s="50"/>
      <c r="H14" s="127">
        <v>0.66</v>
      </c>
      <c r="I14" s="127">
        <v>0.76179076672082313</v>
      </c>
      <c r="J14" s="127">
        <v>0.88368927585973467</v>
      </c>
      <c r="K14" s="127">
        <v>0.73770945132683452</v>
      </c>
      <c r="L14" s="127">
        <v>0.73534403750338473</v>
      </c>
      <c r="M14" s="127">
        <v>0.6774009624966153</v>
      </c>
      <c r="N14" s="7"/>
    </row>
    <row r="15" spans="1:14" ht="15" customHeight="1" x14ac:dyDescent="0.2">
      <c r="A15" s="30">
        <v>15</v>
      </c>
      <c r="B15" s="49"/>
      <c r="C15" s="23"/>
      <c r="D15" s="49"/>
      <c r="E15" s="52"/>
      <c r="F15" s="52" t="s">
        <v>301</v>
      </c>
      <c r="G15" s="50"/>
      <c r="H15" s="127">
        <v>2.7415497853199757</v>
      </c>
      <c r="I15" s="127">
        <v>2.7994855891571073</v>
      </c>
      <c r="J15" s="127">
        <v>2.7994855891571073</v>
      </c>
      <c r="K15" s="127">
        <v>2.7819888042248753</v>
      </c>
      <c r="L15" s="127">
        <v>2.7644920192926432</v>
      </c>
      <c r="M15" s="127">
        <v>2.7294984494281795</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6D9EEB90-5E42-4FC0-8683-C037CC2CE815}"/>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55" zoomScaleNormal="100" zoomScaleSheetLayoutView="55" workbookViewId="0">
      <selection activeCell="H4" sqref="H4:I4"/>
    </sheetView>
  </sheetViews>
  <sheetFormatPr defaultRowHeight="12.75" x14ac:dyDescent="0.2"/>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x14ac:dyDescent="0.2">
      <c r="A1" s="17"/>
      <c r="B1" s="18"/>
      <c r="C1" s="18"/>
      <c r="D1" s="18"/>
      <c r="E1" s="18"/>
      <c r="F1" s="18"/>
      <c r="G1" s="18"/>
      <c r="H1" s="18"/>
      <c r="I1" s="18"/>
      <c r="J1" s="19"/>
      <c r="K1" s="56"/>
      <c r="L1" s="17"/>
      <c r="M1" s="18"/>
      <c r="N1" s="18"/>
      <c r="O1" s="18"/>
      <c r="P1" s="18"/>
      <c r="Q1" s="18"/>
      <c r="R1" s="18"/>
      <c r="S1" s="18"/>
      <c r="T1" s="19"/>
    </row>
    <row r="2" spans="1:20" ht="17.25" x14ac:dyDescent="0.3">
      <c r="A2" s="20"/>
      <c r="B2" s="37"/>
      <c r="C2" s="37"/>
      <c r="D2" s="37"/>
      <c r="E2" s="37"/>
      <c r="F2" s="37"/>
      <c r="G2" s="31" t="s">
        <v>1</v>
      </c>
      <c r="H2" s="235" t="str">
        <f>IF(NOT(ISBLANK(CoverSheet!$C$8)),CoverSheet!$C$8,"")</f>
        <v>Aurora Energy Limited</v>
      </c>
      <c r="I2" s="236"/>
      <c r="J2" s="12"/>
      <c r="K2" s="56"/>
      <c r="L2" s="20"/>
      <c r="M2" s="37"/>
      <c r="N2" s="37"/>
      <c r="O2" s="37"/>
      <c r="P2" s="37"/>
      <c r="Q2" s="31" t="s">
        <v>1</v>
      </c>
      <c r="R2" s="235" t="str">
        <f>IF(NOT(ISBLANK(CoverSheet!$C$8)),CoverSheet!$C$8,"")</f>
        <v>Aurora Energy Limited</v>
      </c>
      <c r="S2" s="236"/>
      <c r="T2" s="12"/>
    </row>
    <row r="3" spans="1:20" ht="17.25" x14ac:dyDescent="0.25">
      <c r="A3" s="20"/>
      <c r="B3" s="37"/>
      <c r="C3" s="37"/>
      <c r="D3" s="37"/>
      <c r="E3" s="37"/>
      <c r="F3" s="37"/>
      <c r="G3" s="31" t="s">
        <v>37</v>
      </c>
      <c r="H3" s="233" t="str">
        <f>IF(ISNUMBER(CoverSheet!$C$12),TEXT(CoverSheet!$C$12,"_([$-1409]d mmmm yyyy;_(@")&amp;" –"&amp;TEXT(DATE(YEAR(CoverSheet!$C$12)+10,MONTH(CoverSheet!$C$12),DAY(CoverSheet!$C$12)-1),"_([$-1409]d mmmm yyyy;_(@"),"")</f>
        <v xml:space="preserve"> 1 April 2024 – 31 March 2034</v>
      </c>
      <c r="I3" s="234"/>
      <c r="J3" s="12"/>
      <c r="K3" s="56"/>
      <c r="L3" s="20"/>
      <c r="M3" s="37"/>
      <c r="N3" s="37"/>
      <c r="O3" s="37"/>
      <c r="P3" s="37"/>
      <c r="Q3" s="31" t="s">
        <v>37</v>
      </c>
      <c r="R3" s="233" t="str">
        <f>IF(ISNUMBER(CoverSheet!$C$12),TEXT(CoverSheet!$C$12,"_([$-1409]d mmmm yyyy;_(@")&amp;" –"&amp;TEXT(DATE(YEAR(CoverSheet!$C$12)+10,MONTH(CoverSheet!$C$12),DAY(CoverSheet!$C$12)-1),"_([$-1409]d mmmm yyyy;_(@"),"")</f>
        <v xml:space="preserve"> 1 April 2024 – 31 March 2034</v>
      </c>
      <c r="S3" s="234"/>
      <c r="T3" s="12"/>
    </row>
    <row r="4" spans="1:20" ht="21" x14ac:dyDescent="0.35">
      <c r="A4" s="51"/>
      <c r="B4" s="37"/>
      <c r="C4" s="37"/>
      <c r="D4" s="37"/>
      <c r="E4" s="37"/>
      <c r="F4" s="37"/>
      <c r="G4" s="31" t="s">
        <v>303</v>
      </c>
      <c r="H4" s="237" t="s">
        <v>733</v>
      </c>
      <c r="I4" s="238"/>
      <c r="J4" s="12"/>
      <c r="K4" s="56"/>
      <c r="L4" s="51"/>
      <c r="M4" s="37"/>
      <c r="N4" s="37"/>
      <c r="O4" s="37"/>
      <c r="P4" s="37"/>
      <c r="Q4" s="31" t="s">
        <v>303</v>
      </c>
      <c r="R4" s="233" t="str">
        <f>IF(ISBLANK($H$4),"",$H$4)</f>
        <v>ISO 55001</v>
      </c>
      <c r="S4" s="234"/>
      <c r="T4" s="12"/>
    </row>
    <row r="5" spans="1:20" ht="21" x14ac:dyDescent="0.35">
      <c r="A5" s="54" t="s">
        <v>304</v>
      </c>
      <c r="B5" s="37"/>
      <c r="C5" s="37"/>
      <c r="D5" s="37"/>
      <c r="E5" s="37"/>
      <c r="F5" s="37"/>
      <c r="G5" s="31"/>
      <c r="H5" s="31"/>
      <c r="I5" s="31"/>
      <c r="J5" s="12"/>
      <c r="K5" s="56"/>
      <c r="L5" s="54" t="s">
        <v>305</v>
      </c>
      <c r="M5" s="37"/>
      <c r="N5" s="37"/>
      <c r="O5" s="37"/>
      <c r="P5" s="37"/>
      <c r="Q5" s="37"/>
      <c r="R5" s="37"/>
      <c r="S5" s="31"/>
      <c r="T5" s="12"/>
    </row>
    <row r="6" spans="1:20" s="3" customFormat="1" x14ac:dyDescent="0.2">
      <c r="A6" s="230" t="s">
        <v>306</v>
      </c>
      <c r="B6" s="231"/>
      <c r="C6" s="231"/>
      <c r="D6" s="231"/>
      <c r="E6" s="231"/>
      <c r="F6" s="231"/>
      <c r="G6" s="53"/>
      <c r="H6" s="53"/>
      <c r="I6" s="53"/>
      <c r="J6" s="32"/>
      <c r="K6" s="57"/>
      <c r="L6" s="55"/>
      <c r="M6" s="28"/>
      <c r="N6" s="28"/>
      <c r="O6" s="28"/>
      <c r="P6" s="28"/>
      <c r="Q6" s="28"/>
      <c r="R6" s="28"/>
      <c r="S6" s="28"/>
      <c r="T6" s="32"/>
    </row>
    <row r="7" spans="1:20" s="62" customFormat="1" ht="15" x14ac:dyDescent="0.25">
      <c r="A7" s="59" t="s">
        <v>307</v>
      </c>
      <c r="B7" s="59" t="s">
        <v>308</v>
      </c>
      <c r="C7" s="59" t="s">
        <v>309</v>
      </c>
      <c r="D7" s="59" t="s">
        <v>310</v>
      </c>
      <c r="E7" s="59" t="s">
        <v>311</v>
      </c>
      <c r="F7" s="59" t="s">
        <v>312</v>
      </c>
      <c r="G7" s="59" t="s">
        <v>313</v>
      </c>
      <c r="H7" s="59" t="s">
        <v>314</v>
      </c>
      <c r="I7" s="59" t="s">
        <v>315</v>
      </c>
      <c r="J7" s="60"/>
      <c r="K7" s="61"/>
      <c r="L7" s="59" t="s">
        <v>307</v>
      </c>
      <c r="M7" s="59" t="s">
        <v>308</v>
      </c>
      <c r="N7" s="139" t="s">
        <v>309</v>
      </c>
      <c r="O7" s="59" t="s">
        <v>316</v>
      </c>
      <c r="P7" s="59" t="s">
        <v>317</v>
      </c>
      <c r="Q7" s="59" t="s">
        <v>318</v>
      </c>
      <c r="R7" s="59" t="s">
        <v>319</v>
      </c>
      <c r="S7" s="59" t="s">
        <v>320</v>
      </c>
      <c r="T7" s="60"/>
    </row>
    <row r="8" spans="1:20" s="66" customFormat="1" ht="236.25" x14ac:dyDescent="0.25">
      <c r="A8" s="65">
        <v>3</v>
      </c>
      <c r="B8" s="58" t="s">
        <v>321</v>
      </c>
      <c r="C8" s="141" t="s">
        <v>322</v>
      </c>
      <c r="D8" s="146">
        <v>3</v>
      </c>
      <c r="E8" s="135" t="s">
        <v>702</v>
      </c>
      <c r="F8" s="135"/>
      <c r="G8" s="58" t="s">
        <v>323</v>
      </c>
      <c r="H8" s="58" t="s">
        <v>324</v>
      </c>
      <c r="I8" s="58" t="s">
        <v>325</v>
      </c>
      <c r="J8" s="63"/>
      <c r="K8" s="64"/>
      <c r="L8" s="65">
        <v>3</v>
      </c>
      <c r="M8" s="58" t="s">
        <v>321</v>
      </c>
      <c r="N8" s="138" t="s">
        <v>322</v>
      </c>
      <c r="O8" s="58" t="s">
        <v>326</v>
      </c>
      <c r="P8" s="58" t="s">
        <v>327</v>
      </c>
      <c r="Q8" s="58" t="s">
        <v>328</v>
      </c>
      <c r="R8" s="58" t="s">
        <v>329</v>
      </c>
      <c r="S8" s="58" t="s">
        <v>330</v>
      </c>
      <c r="T8" s="63"/>
    </row>
    <row r="9" spans="1:20" s="66" customFormat="1" ht="220.5" x14ac:dyDescent="0.25">
      <c r="A9" s="65">
        <v>10</v>
      </c>
      <c r="B9" s="58" t="s">
        <v>331</v>
      </c>
      <c r="C9" s="141" t="s">
        <v>332</v>
      </c>
      <c r="D9" s="146">
        <v>2</v>
      </c>
      <c r="E9" s="135" t="s">
        <v>703</v>
      </c>
      <c r="F9" s="135"/>
      <c r="G9" s="58" t="s">
        <v>333</v>
      </c>
      <c r="H9" s="58" t="s">
        <v>334</v>
      </c>
      <c r="I9" s="58" t="s">
        <v>335</v>
      </c>
      <c r="J9" s="63"/>
      <c r="K9" s="64"/>
      <c r="L9" s="65">
        <v>10</v>
      </c>
      <c r="M9" s="58" t="s">
        <v>331</v>
      </c>
      <c r="N9" s="138" t="s">
        <v>332</v>
      </c>
      <c r="O9" s="58" t="s">
        <v>336</v>
      </c>
      <c r="P9" s="58" t="s">
        <v>337</v>
      </c>
      <c r="Q9" s="58" t="s">
        <v>338</v>
      </c>
      <c r="R9" s="58" t="s">
        <v>339</v>
      </c>
      <c r="S9" s="58" t="s">
        <v>330</v>
      </c>
      <c r="T9" s="63"/>
    </row>
    <row r="10" spans="1:20" s="66" customFormat="1" ht="296.25" customHeight="1" x14ac:dyDescent="0.25">
      <c r="A10" s="65">
        <v>11</v>
      </c>
      <c r="B10" s="58" t="s">
        <v>331</v>
      </c>
      <c r="C10" s="141" t="s">
        <v>340</v>
      </c>
      <c r="D10" s="146">
        <v>2</v>
      </c>
      <c r="E10" s="135" t="s">
        <v>704</v>
      </c>
      <c r="F10" s="135"/>
      <c r="G10" s="58" t="s">
        <v>341</v>
      </c>
      <c r="H10" s="58" t="s">
        <v>342</v>
      </c>
      <c r="I10" s="58" t="s">
        <v>343</v>
      </c>
      <c r="J10" s="63"/>
      <c r="K10" s="64"/>
      <c r="L10" s="65">
        <v>11</v>
      </c>
      <c r="M10" s="58" t="s">
        <v>331</v>
      </c>
      <c r="N10" s="138" t="s">
        <v>340</v>
      </c>
      <c r="O10" s="58" t="s">
        <v>344</v>
      </c>
      <c r="P10" s="58" t="s">
        <v>345</v>
      </c>
      <c r="Q10" s="58" t="s">
        <v>346</v>
      </c>
      <c r="R10" s="58" t="s">
        <v>347</v>
      </c>
      <c r="S10" s="58" t="s">
        <v>330</v>
      </c>
      <c r="T10" s="63"/>
    </row>
    <row r="11" spans="1:20" s="66" customFormat="1" ht="183.75" customHeight="1" x14ac:dyDescent="0.25">
      <c r="A11" s="65">
        <v>26</v>
      </c>
      <c r="B11" s="58" t="s">
        <v>348</v>
      </c>
      <c r="C11" s="141" t="s">
        <v>349</v>
      </c>
      <c r="D11" s="146">
        <v>2</v>
      </c>
      <c r="E11" s="135" t="s">
        <v>705</v>
      </c>
      <c r="F11" s="135"/>
      <c r="G11" s="58" t="s">
        <v>350</v>
      </c>
      <c r="H11" s="58" t="s">
        <v>351</v>
      </c>
      <c r="I11" s="58" t="s">
        <v>352</v>
      </c>
      <c r="J11" s="67"/>
      <c r="K11" s="64"/>
      <c r="L11" s="65">
        <v>26</v>
      </c>
      <c r="M11" s="58" t="s">
        <v>348</v>
      </c>
      <c r="N11" s="138" t="s">
        <v>349</v>
      </c>
      <c r="O11" s="58" t="s">
        <v>353</v>
      </c>
      <c r="P11" s="58" t="s">
        <v>354</v>
      </c>
      <c r="Q11" s="58" t="s">
        <v>355</v>
      </c>
      <c r="R11" s="58" t="s">
        <v>356</v>
      </c>
      <c r="S11" s="58" t="s">
        <v>330</v>
      </c>
      <c r="T11" s="67"/>
    </row>
    <row r="13" spans="1:20" x14ac:dyDescent="0.2">
      <c r="A13" s="17"/>
      <c r="B13" s="18"/>
      <c r="C13" s="18"/>
      <c r="D13" s="18"/>
      <c r="E13" s="18"/>
      <c r="F13" s="18"/>
      <c r="G13" s="18"/>
      <c r="H13" s="18"/>
      <c r="I13" s="18"/>
      <c r="J13" s="19"/>
      <c r="K13" s="56"/>
      <c r="L13" s="17"/>
      <c r="M13" s="18"/>
      <c r="N13" s="18"/>
      <c r="O13" s="18"/>
      <c r="P13" s="18"/>
      <c r="Q13" s="18"/>
      <c r="R13" s="18"/>
      <c r="S13" s="18"/>
      <c r="T13" s="19"/>
    </row>
    <row r="14" spans="1:20" ht="17.25" x14ac:dyDescent="0.3">
      <c r="A14" s="20"/>
      <c r="B14" s="37"/>
      <c r="C14" s="37"/>
      <c r="D14" s="37"/>
      <c r="E14" s="37"/>
      <c r="F14" s="37"/>
      <c r="G14" s="31" t="s">
        <v>1</v>
      </c>
      <c r="H14" s="215" t="str">
        <f>IF(NOT(ISBLANK(CoverSheet!$C$8)),CoverSheet!$C$8,"")</f>
        <v>Aurora Energy Limited</v>
      </c>
      <c r="I14" s="215"/>
      <c r="J14" s="12"/>
      <c r="K14" s="56"/>
      <c r="L14" s="20"/>
      <c r="M14" s="37"/>
      <c r="N14" s="37"/>
      <c r="O14" s="37"/>
      <c r="P14" s="37"/>
      <c r="Q14" s="31" t="s">
        <v>1</v>
      </c>
      <c r="R14" s="235" t="str">
        <f>IF(NOT(ISBLANK(CoverSheet!$C$8)),CoverSheet!$C$8,"")</f>
        <v>Aurora Energy Limited</v>
      </c>
      <c r="S14" s="236"/>
      <c r="T14" s="12"/>
    </row>
    <row r="15" spans="1:20" ht="17.25" x14ac:dyDescent="0.25">
      <c r="A15" s="20"/>
      <c r="B15" s="37"/>
      <c r="C15" s="37"/>
      <c r="D15" s="37"/>
      <c r="E15" s="37"/>
      <c r="F15" s="37"/>
      <c r="G15" s="31" t="s">
        <v>37</v>
      </c>
      <c r="H15" s="225" t="str">
        <f>IF(ISNUMBER(CoverSheet!$C$12),TEXT(CoverSheet!$C$12,"_([$-1409]d mmmm yyyy;_(@")&amp;" –"&amp;TEXT(DATE(YEAR(CoverSheet!$C$12)+10,MONTH(CoverSheet!$C$12),DAY(CoverSheet!$C$12)-1),"_([$-1409]d mmmm yyyy;_(@"),"")</f>
        <v xml:space="preserve"> 1 April 2024 – 31 March 2034</v>
      </c>
      <c r="I15" s="225"/>
      <c r="J15" s="12"/>
      <c r="K15" s="56"/>
      <c r="L15" s="20"/>
      <c r="M15" s="37"/>
      <c r="N15" s="37"/>
      <c r="O15" s="37"/>
      <c r="P15" s="37"/>
      <c r="Q15" s="31" t="s">
        <v>37</v>
      </c>
      <c r="R15" s="233" t="str">
        <f>IF(ISNUMBER(CoverSheet!$C$12),TEXT(CoverSheet!$C$12,"_([$-1409]d mmmm yyyy;_(@")&amp;" –"&amp;TEXT(DATE(YEAR(CoverSheet!$C$12)+10,MONTH(CoverSheet!$C$12),DAY(CoverSheet!$C$12)-1),"_([$-1409]d mmmm yyyy;_(@"),"")</f>
        <v xml:space="preserve"> 1 April 2024 – 31 March 2034</v>
      </c>
      <c r="S15" s="234"/>
      <c r="T15" s="12"/>
    </row>
    <row r="16" spans="1:20" ht="21" x14ac:dyDescent="0.35">
      <c r="A16" s="51"/>
      <c r="B16" s="37"/>
      <c r="C16" s="37"/>
      <c r="D16" s="37"/>
      <c r="E16" s="37"/>
      <c r="F16" s="37"/>
      <c r="G16" s="31" t="s">
        <v>303</v>
      </c>
      <c r="H16" s="233" t="str">
        <f>IF(ISBLANK($H$4),"",$H$4)</f>
        <v>ISO 55001</v>
      </c>
      <c r="I16" s="234"/>
      <c r="J16" s="12"/>
      <c r="K16" s="56"/>
      <c r="L16" s="51"/>
      <c r="M16" s="37"/>
      <c r="N16" s="37"/>
      <c r="O16" s="37"/>
      <c r="P16" s="37"/>
      <c r="Q16" s="31" t="s">
        <v>303</v>
      </c>
      <c r="R16" s="233" t="str">
        <f>IF(ISBLANK($H$4),"",$H$4)</f>
        <v>ISO 55001</v>
      </c>
      <c r="S16" s="234"/>
      <c r="T16" s="12"/>
    </row>
    <row r="17" spans="1:20" ht="21" x14ac:dyDescent="0.35">
      <c r="A17" s="54" t="s">
        <v>305</v>
      </c>
      <c r="B17" s="37"/>
      <c r="C17" s="37"/>
      <c r="D17" s="37"/>
      <c r="E17" s="37"/>
      <c r="F17" s="37"/>
      <c r="G17" s="31"/>
      <c r="H17" s="31"/>
      <c r="I17" s="31"/>
      <c r="J17" s="12"/>
      <c r="K17" s="56"/>
      <c r="L17" s="54" t="s">
        <v>305</v>
      </c>
      <c r="M17" s="37"/>
      <c r="N17" s="37"/>
      <c r="O17" s="37"/>
      <c r="P17" s="37"/>
      <c r="Q17" s="37"/>
      <c r="R17" s="37"/>
      <c r="S17" s="31"/>
      <c r="T17" s="12"/>
    </row>
    <row r="18" spans="1:20" x14ac:dyDescent="0.2">
      <c r="A18" s="25"/>
      <c r="B18" s="37"/>
      <c r="C18" s="37"/>
      <c r="D18" s="37"/>
      <c r="E18" s="37"/>
      <c r="F18" s="37"/>
      <c r="G18" s="37"/>
      <c r="H18" s="37"/>
      <c r="I18" s="37"/>
      <c r="J18" s="12"/>
      <c r="K18" s="56"/>
      <c r="L18" s="25"/>
      <c r="M18" s="37"/>
      <c r="N18" s="37"/>
      <c r="O18" s="37"/>
      <c r="P18" s="37"/>
      <c r="Q18" s="37"/>
      <c r="R18" s="37"/>
      <c r="S18" s="37"/>
      <c r="T18" s="12"/>
    </row>
    <row r="19" spans="1:20" s="62" customFormat="1" ht="15" x14ac:dyDescent="0.25">
      <c r="A19" s="59" t="s">
        <v>307</v>
      </c>
      <c r="B19" s="59" t="s">
        <v>308</v>
      </c>
      <c r="C19" s="59" t="s">
        <v>309</v>
      </c>
      <c r="D19" s="59" t="s">
        <v>310</v>
      </c>
      <c r="E19" s="59" t="s">
        <v>311</v>
      </c>
      <c r="F19" s="59" t="s">
        <v>312</v>
      </c>
      <c r="G19" s="59" t="s">
        <v>313</v>
      </c>
      <c r="H19" s="59" t="s">
        <v>314</v>
      </c>
      <c r="I19" s="59" t="s">
        <v>315</v>
      </c>
      <c r="J19" s="60"/>
      <c r="K19" s="61"/>
      <c r="L19" s="59" t="s">
        <v>307</v>
      </c>
      <c r="M19" s="59" t="s">
        <v>308</v>
      </c>
      <c r="N19" s="139" t="s">
        <v>309</v>
      </c>
      <c r="O19" s="59" t="s">
        <v>316</v>
      </c>
      <c r="P19" s="59" t="s">
        <v>317</v>
      </c>
      <c r="Q19" s="59" t="s">
        <v>318</v>
      </c>
      <c r="R19" s="59" t="s">
        <v>319</v>
      </c>
      <c r="S19" s="59" t="s">
        <v>320</v>
      </c>
      <c r="T19" s="60"/>
    </row>
    <row r="20" spans="1:20" s="66" customFormat="1" ht="199.5" customHeight="1" x14ac:dyDescent="0.25">
      <c r="A20" s="65">
        <v>27</v>
      </c>
      <c r="B20" s="58" t="s">
        <v>357</v>
      </c>
      <c r="C20" s="141" t="s">
        <v>358</v>
      </c>
      <c r="D20" s="212">
        <v>3</v>
      </c>
      <c r="E20" s="135" t="s">
        <v>706</v>
      </c>
      <c r="F20" s="134"/>
      <c r="G20" s="58" t="s">
        <v>359</v>
      </c>
      <c r="H20" s="58" t="s">
        <v>360</v>
      </c>
      <c r="I20" s="58" t="s">
        <v>361</v>
      </c>
      <c r="J20" s="63"/>
      <c r="K20" s="64"/>
      <c r="L20" s="65">
        <v>27</v>
      </c>
      <c r="M20" s="58" t="s">
        <v>357</v>
      </c>
      <c r="N20" s="138" t="s">
        <v>358</v>
      </c>
      <c r="O20" s="58" t="s">
        <v>362</v>
      </c>
      <c r="P20" s="58" t="s">
        <v>363</v>
      </c>
      <c r="Q20" s="58" t="s">
        <v>364</v>
      </c>
      <c r="R20" s="58" t="s">
        <v>365</v>
      </c>
      <c r="S20" s="58" t="s">
        <v>330</v>
      </c>
      <c r="T20" s="63"/>
    </row>
    <row r="21" spans="1:20" s="66" customFormat="1" ht="168.75" customHeight="1" x14ac:dyDescent="0.25">
      <c r="A21" s="65">
        <v>29</v>
      </c>
      <c r="B21" s="58" t="s">
        <v>357</v>
      </c>
      <c r="C21" s="141" t="s">
        <v>366</v>
      </c>
      <c r="D21" s="212">
        <v>3</v>
      </c>
      <c r="E21" s="135" t="s">
        <v>707</v>
      </c>
      <c r="F21" s="134"/>
      <c r="G21" s="58" t="s">
        <v>367</v>
      </c>
      <c r="H21" s="58" t="s">
        <v>368</v>
      </c>
      <c r="I21" s="58" t="s">
        <v>369</v>
      </c>
      <c r="J21" s="63"/>
      <c r="K21" s="64"/>
      <c r="L21" s="65">
        <v>29</v>
      </c>
      <c r="M21" s="58" t="s">
        <v>357</v>
      </c>
      <c r="N21" s="138" t="s">
        <v>366</v>
      </c>
      <c r="O21" s="58" t="s">
        <v>370</v>
      </c>
      <c r="P21" s="58" t="s">
        <v>371</v>
      </c>
      <c r="Q21" s="58" t="s">
        <v>372</v>
      </c>
      <c r="R21" s="58" t="s">
        <v>373</v>
      </c>
      <c r="S21" s="58" t="s">
        <v>330</v>
      </c>
      <c r="T21" s="63"/>
    </row>
    <row r="22" spans="1:20" s="66" customFormat="1" ht="216" customHeight="1" x14ac:dyDescent="0.25">
      <c r="A22" s="65">
        <v>31</v>
      </c>
      <c r="B22" s="58" t="s">
        <v>348</v>
      </c>
      <c r="C22" s="141" t="s">
        <v>374</v>
      </c>
      <c r="D22" s="212">
        <v>2</v>
      </c>
      <c r="E22" s="135" t="s">
        <v>708</v>
      </c>
      <c r="F22" s="134"/>
      <c r="G22" s="58" t="s">
        <v>375</v>
      </c>
      <c r="H22" s="58" t="s">
        <v>376</v>
      </c>
      <c r="I22" s="58" t="s">
        <v>377</v>
      </c>
      <c r="J22" s="63"/>
      <c r="K22" s="64"/>
      <c r="L22" s="65">
        <v>31</v>
      </c>
      <c r="M22" s="58" t="s">
        <v>348</v>
      </c>
      <c r="N22" s="138" t="s">
        <v>374</v>
      </c>
      <c r="O22" s="58" t="s">
        <v>378</v>
      </c>
      <c r="P22" s="58" t="s">
        <v>379</v>
      </c>
      <c r="Q22" s="58" t="s">
        <v>380</v>
      </c>
      <c r="R22" s="58" t="s">
        <v>381</v>
      </c>
      <c r="S22" s="58" t="s">
        <v>330</v>
      </c>
      <c r="T22" s="63"/>
    </row>
    <row r="23" spans="1:20" s="66" customFormat="1" ht="220.5" x14ac:dyDescent="0.25">
      <c r="A23" s="65">
        <v>33</v>
      </c>
      <c r="B23" s="58" t="s">
        <v>382</v>
      </c>
      <c r="C23" s="141" t="s">
        <v>383</v>
      </c>
      <c r="D23" s="212">
        <v>3</v>
      </c>
      <c r="E23" s="135" t="s">
        <v>709</v>
      </c>
      <c r="F23" s="134"/>
      <c r="G23" s="58" t="s">
        <v>384</v>
      </c>
      <c r="H23" s="58" t="s">
        <v>385</v>
      </c>
      <c r="I23" s="58" t="s">
        <v>386</v>
      </c>
      <c r="J23" s="67"/>
      <c r="K23" s="64"/>
      <c r="L23" s="65">
        <v>33</v>
      </c>
      <c r="M23" s="58" t="s">
        <v>382</v>
      </c>
      <c r="N23" s="138" t="s">
        <v>383</v>
      </c>
      <c r="O23" s="58" t="s">
        <v>387</v>
      </c>
      <c r="P23" s="58" t="s">
        <v>388</v>
      </c>
      <c r="Q23" s="58" t="s">
        <v>389</v>
      </c>
      <c r="R23" s="58" t="s">
        <v>390</v>
      </c>
      <c r="S23" s="58" t="s">
        <v>330</v>
      </c>
      <c r="T23" s="67"/>
    </row>
    <row r="25" spans="1:20" x14ac:dyDescent="0.2">
      <c r="A25" s="17"/>
      <c r="B25" s="18"/>
      <c r="C25" s="18"/>
      <c r="D25" s="18"/>
      <c r="E25" s="18"/>
      <c r="F25" s="18"/>
      <c r="G25" s="18"/>
      <c r="H25" s="18"/>
      <c r="I25" s="18"/>
      <c r="J25" s="19"/>
      <c r="K25" s="56"/>
      <c r="L25" s="17"/>
      <c r="M25" s="18"/>
      <c r="N25" s="18"/>
      <c r="O25" s="18"/>
      <c r="P25" s="18"/>
      <c r="Q25" s="18"/>
      <c r="R25" s="18"/>
      <c r="S25" s="18"/>
      <c r="T25" s="19"/>
    </row>
    <row r="26" spans="1:20" ht="17.25" x14ac:dyDescent="0.3">
      <c r="A26" s="20"/>
      <c r="B26" s="37"/>
      <c r="C26" s="37"/>
      <c r="D26" s="37"/>
      <c r="E26" s="37"/>
      <c r="F26" s="37"/>
      <c r="G26" s="31" t="s">
        <v>1</v>
      </c>
      <c r="H26" s="215" t="str">
        <f>IF(NOT(ISBLANK(CoverSheet!$C$8)),CoverSheet!$C$8,"")</f>
        <v>Aurora Energy Limited</v>
      </c>
      <c r="I26" s="215"/>
      <c r="J26" s="12"/>
      <c r="K26" s="56"/>
      <c r="L26" s="20"/>
      <c r="M26" s="37"/>
      <c r="N26" s="37"/>
      <c r="O26" s="37"/>
      <c r="P26" s="37"/>
      <c r="Q26" s="31" t="s">
        <v>1</v>
      </c>
      <c r="R26" s="235" t="str">
        <f>IF(NOT(ISBLANK(CoverSheet!$C$8)),CoverSheet!$C$8,"")</f>
        <v>Aurora Energy Limited</v>
      </c>
      <c r="S26" s="236"/>
      <c r="T26" s="12"/>
    </row>
    <row r="27" spans="1:20" ht="17.25" x14ac:dyDescent="0.25">
      <c r="A27" s="20"/>
      <c r="B27" s="37"/>
      <c r="C27" s="37"/>
      <c r="D27" s="37"/>
      <c r="E27" s="37"/>
      <c r="F27" s="37"/>
      <c r="G27" s="31" t="s">
        <v>37</v>
      </c>
      <c r="H27" s="225" t="str">
        <f>IF(ISNUMBER(CoverSheet!$C$12),TEXT(CoverSheet!$C$12,"_([$-1409]d mmmm yyyy;_(@")&amp;" –"&amp;TEXT(DATE(YEAR(CoverSheet!$C$12)+10,MONTH(CoverSheet!$C$12),DAY(CoverSheet!$C$12)-1),"_([$-1409]d mmmm yyyy;_(@"),"")</f>
        <v xml:space="preserve"> 1 April 2024 – 31 March 2034</v>
      </c>
      <c r="I27" s="225"/>
      <c r="J27" s="12"/>
      <c r="K27" s="56"/>
      <c r="L27" s="20"/>
      <c r="M27" s="37"/>
      <c r="N27" s="37"/>
      <c r="O27" s="37"/>
      <c r="P27" s="37"/>
      <c r="Q27" s="31" t="s">
        <v>37</v>
      </c>
      <c r="R27" s="233" t="str">
        <f>IF(ISNUMBER(CoverSheet!$C$12),TEXT(CoverSheet!$C$12,"_([$-1409]d mmmm yyyy;_(@")&amp;" –"&amp;TEXT(DATE(YEAR(CoverSheet!$C$12)+10,MONTH(CoverSheet!$C$12),DAY(CoverSheet!$C$12)-1),"_([$-1409]d mmmm yyyy;_(@"),"")</f>
        <v xml:space="preserve"> 1 April 2024 – 31 March 2034</v>
      </c>
      <c r="S27" s="234"/>
      <c r="T27" s="12"/>
    </row>
    <row r="28" spans="1:20" ht="21" x14ac:dyDescent="0.35">
      <c r="A28" s="51"/>
      <c r="B28" s="37"/>
      <c r="C28" s="37"/>
      <c r="D28" s="37"/>
      <c r="E28" s="37"/>
      <c r="F28" s="37"/>
      <c r="G28" s="31" t="s">
        <v>303</v>
      </c>
      <c r="H28" s="233" t="str">
        <f>IF(ISBLANK($H$4),"",$H$4)</f>
        <v>ISO 55001</v>
      </c>
      <c r="I28" s="234"/>
      <c r="J28" s="12"/>
      <c r="K28" s="56"/>
      <c r="L28" s="51"/>
      <c r="M28" s="37"/>
      <c r="N28" s="37"/>
      <c r="O28" s="37"/>
      <c r="P28" s="37"/>
      <c r="Q28" s="31" t="s">
        <v>303</v>
      </c>
      <c r="R28" s="233" t="str">
        <f>IF(ISBLANK($H$4),"",$H$4)</f>
        <v>ISO 55001</v>
      </c>
      <c r="S28" s="234"/>
      <c r="T28" s="12"/>
    </row>
    <row r="29" spans="1:20" ht="21" x14ac:dyDescent="0.35">
      <c r="A29" s="54" t="s">
        <v>305</v>
      </c>
      <c r="B29" s="37"/>
      <c r="C29" s="37"/>
      <c r="D29" s="37"/>
      <c r="E29" s="37"/>
      <c r="F29" s="37"/>
      <c r="G29" s="31"/>
      <c r="H29" s="31"/>
      <c r="I29" s="31"/>
      <c r="J29" s="12"/>
      <c r="K29" s="56"/>
      <c r="L29" s="54" t="s">
        <v>305</v>
      </c>
      <c r="M29" s="37"/>
      <c r="N29" s="37"/>
      <c r="O29" s="37"/>
      <c r="P29" s="37"/>
      <c r="Q29" s="37"/>
      <c r="R29" s="37"/>
      <c r="S29" s="31"/>
      <c r="T29" s="12"/>
    </row>
    <row r="30" spans="1:20" x14ac:dyDescent="0.2">
      <c r="A30" s="25"/>
      <c r="B30" s="37"/>
      <c r="C30" s="37"/>
      <c r="D30" s="37"/>
      <c r="E30" s="37"/>
      <c r="F30" s="37"/>
      <c r="G30" s="37"/>
      <c r="H30" s="37"/>
      <c r="I30" s="37"/>
      <c r="J30" s="12"/>
      <c r="K30" s="56"/>
      <c r="L30" s="25"/>
      <c r="M30" s="37"/>
      <c r="N30" s="37"/>
      <c r="O30" s="37"/>
      <c r="P30" s="37"/>
      <c r="Q30" s="37"/>
      <c r="R30" s="37"/>
      <c r="S30" s="37"/>
      <c r="T30" s="12"/>
    </row>
    <row r="31" spans="1:20" s="62" customFormat="1" ht="15" x14ac:dyDescent="0.25">
      <c r="A31" s="59" t="s">
        <v>307</v>
      </c>
      <c r="B31" s="59" t="s">
        <v>308</v>
      </c>
      <c r="C31" s="59" t="s">
        <v>309</v>
      </c>
      <c r="D31" s="59" t="s">
        <v>310</v>
      </c>
      <c r="E31" s="59" t="s">
        <v>311</v>
      </c>
      <c r="F31" s="59" t="s">
        <v>312</v>
      </c>
      <c r="G31" s="59" t="s">
        <v>313</v>
      </c>
      <c r="H31" s="59" t="s">
        <v>314</v>
      </c>
      <c r="I31" s="59" t="s">
        <v>315</v>
      </c>
      <c r="J31" s="60"/>
      <c r="K31" s="61"/>
      <c r="L31" s="59" t="s">
        <v>307</v>
      </c>
      <c r="M31" s="59" t="s">
        <v>308</v>
      </c>
      <c r="N31" s="139" t="s">
        <v>309</v>
      </c>
      <c r="O31" s="59" t="s">
        <v>316</v>
      </c>
      <c r="P31" s="59" t="s">
        <v>317</v>
      </c>
      <c r="Q31" s="59" t="s">
        <v>318</v>
      </c>
      <c r="R31" s="59" t="s">
        <v>319</v>
      </c>
      <c r="S31" s="59" t="s">
        <v>320</v>
      </c>
      <c r="T31" s="60"/>
    </row>
    <row r="32" spans="1:20" s="66" customFormat="1" ht="141.75" x14ac:dyDescent="0.25">
      <c r="A32" s="65">
        <v>37</v>
      </c>
      <c r="B32" s="58" t="s">
        <v>391</v>
      </c>
      <c r="C32" s="141" t="s">
        <v>392</v>
      </c>
      <c r="D32" s="212">
        <v>3</v>
      </c>
      <c r="E32" s="135" t="s">
        <v>710</v>
      </c>
      <c r="F32" s="134"/>
      <c r="G32" s="58" t="s">
        <v>393</v>
      </c>
      <c r="H32" s="58" t="s">
        <v>394</v>
      </c>
      <c r="I32" s="58" t="s">
        <v>395</v>
      </c>
      <c r="J32" s="63"/>
      <c r="K32" s="64"/>
      <c r="L32" s="65">
        <v>37</v>
      </c>
      <c r="M32" s="58" t="s">
        <v>391</v>
      </c>
      <c r="N32" s="138" t="s">
        <v>392</v>
      </c>
      <c r="O32" s="58" t="s">
        <v>396</v>
      </c>
      <c r="P32" s="58" t="s">
        <v>397</v>
      </c>
      <c r="Q32" s="58" t="s">
        <v>398</v>
      </c>
      <c r="R32" s="58" t="s">
        <v>399</v>
      </c>
      <c r="S32" s="58" t="s">
        <v>330</v>
      </c>
      <c r="T32" s="63"/>
    </row>
    <row r="33" spans="1:20" s="66" customFormat="1" ht="296.25" customHeight="1" x14ac:dyDescent="0.25">
      <c r="A33" s="65">
        <v>40</v>
      </c>
      <c r="B33" s="58" t="s">
        <v>391</v>
      </c>
      <c r="C33" s="141" t="s">
        <v>400</v>
      </c>
      <c r="D33" s="212">
        <v>3</v>
      </c>
      <c r="E33" s="135" t="s">
        <v>711</v>
      </c>
      <c r="F33" s="134"/>
      <c r="G33" s="58" t="s">
        <v>401</v>
      </c>
      <c r="H33" s="58" t="s">
        <v>402</v>
      </c>
      <c r="I33" s="58" t="s">
        <v>403</v>
      </c>
      <c r="J33" s="63"/>
      <c r="K33" s="64"/>
      <c r="L33" s="65">
        <v>40</v>
      </c>
      <c r="M33" s="58" t="s">
        <v>391</v>
      </c>
      <c r="N33" s="138" t="s">
        <v>400</v>
      </c>
      <c r="O33" s="58" t="s">
        <v>404</v>
      </c>
      <c r="P33" s="58" t="s">
        <v>405</v>
      </c>
      <c r="Q33" s="58" t="s">
        <v>406</v>
      </c>
      <c r="R33" s="58" t="s">
        <v>407</v>
      </c>
      <c r="S33" s="58" t="s">
        <v>330</v>
      </c>
      <c r="T33" s="63"/>
    </row>
    <row r="34" spans="1:20" s="66" customFormat="1" ht="216" customHeight="1" x14ac:dyDescent="0.25">
      <c r="A34" s="65">
        <v>42</v>
      </c>
      <c r="B34" s="58" t="s">
        <v>391</v>
      </c>
      <c r="C34" s="141" t="s">
        <v>408</v>
      </c>
      <c r="D34" s="212">
        <v>3</v>
      </c>
      <c r="E34" s="135" t="s">
        <v>712</v>
      </c>
      <c r="F34" s="134"/>
      <c r="G34" s="58" t="s">
        <v>409</v>
      </c>
      <c r="H34" s="58" t="s">
        <v>410</v>
      </c>
      <c r="I34" s="58" t="s">
        <v>411</v>
      </c>
      <c r="J34" s="63"/>
      <c r="K34" s="64"/>
      <c r="L34" s="65">
        <v>42</v>
      </c>
      <c r="M34" s="58" t="s">
        <v>391</v>
      </c>
      <c r="N34" s="138" t="s">
        <v>408</v>
      </c>
      <c r="O34" s="58" t="s">
        <v>412</v>
      </c>
      <c r="P34" s="58" t="s">
        <v>413</v>
      </c>
      <c r="Q34" s="58" t="s">
        <v>414</v>
      </c>
      <c r="R34" s="58" t="s">
        <v>415</v>
      </c>
      <c r="S34" s="58" t="s">
        <v>330</v>
      </c>
      <c r="T34" s="63"/>
    </row>
    <row r="35" spans="1:20" s="66" customFormat="1" ht="220.5" x14ac:dyDescent="0.25">
      <c r="A35" s="65">
        <v>45</v>
      </c>
      <c r="B35" s="58" t="s">
        <v>416</v>
      </c>
      <c r="C35" s="141" t="s">
        <v>417</v>
      </c>
      <c r="D35" s="212">
        <v>3</v>
      </c>
      <c r="E35" s="135" t="s">
        <v>713</v>
      </c>
      <c r="F35" s="134"/>
      <c r="G35" s="58" t="s">
        <v>418</v>
      </c>
      <c r="H35" s="58" t="s">
        <v>419</v>
      </c>
      <c r="I35" s="58" t="s">
        <v>420</v>
      </c>
      <c r="J35" s="67"/>
      <c r="K35" s="64"/>
      <c r="L35" s="65">
        <v>45</v>
      </c>
      <c r="M35" s="58" t="s">
        <v>416</v>
      </c>
      <c r="N35" s="138" t="s">
        <v>417</v>
      </c>
      <c r="O35" s="58" t="s">
        <v>421</v>
      </c>
      <c r="P35" s="58" t="s">
        <v>422</v>
      </c>
      <c r="Q35" s="58" t="s">
        <v>423</v>
      </c>
      <c r="R35" s="58" t="s">
        <v>424</v>
      </c>
      <c r="S35" s="58" t="s">
        <v>330</v>
      </c>
      <c r="T35" s="67"/>
    </row>
    <row r="37" spans="1:20" x14ac:dyDescent="0.2">
      <c r="A37" s="17"/>
      <c r="B37" s="18"/>
      <c r="C37" s="18"/>
      <c r="D37" s="18"/>
      <c r="E37" s="18"/>
      <c r="F37" s="18"/>
      <c r="G37" s="18"/>
      <c r="H37" s="18"/>
      <c r="I37" s="18"/>
      <c r="J37" s="19"/>
      <c r="K37" s="56"/>
      <c r="L37" s="17"/>
      <c r="M37" s="18"/>
      <c r="N37" s="18"/>
      <c r="O37" s="18"/>
      <c r="P37" s="18"/>
      <c r="Q37" s="18"/>
      <c r="R37" s="18"/>
      <c r="S37" s="18"/>
      <c r="T37" s="19"/>
    </row>
    <row r="38" spans="1:20" ht="17.25" x14ac:dyDescent="0.3">
      <c r="A38" s="20"/>
      <c r="B38" s="37"/>
      <c r="C38" s="37"/>
      <c r="D38" s="37"/>
      <c r="E38" s="37"/>
      <c r="F38" s="37"/>
      <c r="G38" s="31" t="s">
        <v>1</v>
      </c>
      <c r="H38" s="215" t="str">
        <f>IF(NOT(ISBLANK(CoverSheet!$C$8)),CoverSheet!$C$8,"")</f>
        <v>Aurora Energy Limited</v>
      </c>
      <c r="I38" s="215"/>
      <c r="J38" s="12"/>
      <c r="K38" s="56"/>
      <c r="L38" s="20"/>
      <c r="M38" s="37"/>
      <c r="N38" s="37"/>
      <c r="O38" s="37"/>
      <c r="P38" s="37"/>
      <c r="Q38" s="31" t="s">
        <v>1</v>
      </c>
      <c r="R38" s="235" t="str">
        <f>IF(NOT(ISBLANK(CoverSheet!$C$8)),CoverSheet!$C$8,"")</f>
        <v>Aurora Energy Limited</v>
      </c>
      <c r="S38" s="236"/>
      <c r="T38" s="12"/>
    </row>
    <row r="39" spans="1:20" ht="17.25" x14ac:dyDescent="0.25">
      <c r="A39" s="20"/>
      <c r="B39" s="37"/>
      <c r="C39" s="37"/>
      <c r="D39" s="37"/>
      <c r="E39" s="37"/>
      <c r="F39" s="37"/>
      <c r="G39" s="31" t="s">
        <v>37</v>
      </c>
      <c r="H39" s="225" t="str">
        <f>IF(ISNUMBER(CoverSheet!$C$12),TEXT(CoverSheet!$C$12,"_([$-1409]d mmmm yyyy;_(@")&amp;" –"&amp;TEXT(DATE(YEAR(CoverSheet!$C$12)+10,MONTH(CoverSheet!$C$12),DAY(CoverSheet!$C$12)-1),"_([$-1409]d mmmm yyyy;_(@"),"")</f>
        <v xml:space="preserve"> 1 April 2024 – 31 March 2034</v>
      </c>
      <c r="I39" s="225"/>
      <c r="J39" s="12"/>
      <c r="K39" s="56"/>
      <c r="L39" s="20"/>
      <c r="M39" s="37"/>
      <c r="N39" s="37"/>
      <c r="O39" s="37"/>
      <c r="P39" s="37"/>
      <c r="Q39" s="31" t="s">
        <v>37</v>
      </c>
      <c r="R39" s="233" t="str">
        <f>IF(ISNUMBER(CoverSheet!$C$12),TEXT(CoverSheet!$C$12,"_([$-1409]d mmmm yyyy;_(@")&amp;" –"&amp;TEXT(DATE(YEAR(CoverSheet!$C$12)+10,MONTH(CoverSheet!$C$12),DAY(CoverSheet!$C$12)-1),"_([$-1409]d mmmm yyyy;_(@"),"")</f>
        <v xml:space="preserve"> 1 April 2024 – 31 March 2034</v>
      </c>
      <c r="S39" s="234"/>
      <c r="T39" s="12"/>
    </row>
    <row r="40" spans="1:20" ht="21" x14ac:dyDescent="0.35">
      <c r="A40" s="51"/>
      <c r="B40" s="37"/>
      <c r="C40" s="37"/>
      <c r="D40" s="37"/>
      <c r="E40" s="37"/>
      <c r="F40" s="37"/>
      <c r="G40" s="31" t="s">
        <v>303</v>
      </c>
      <c r="H40" s="233" t="str">
        <f>IF(ISBLANK($H$4),"",$H$4)</f>
        <v>ISO 55001</v>
      </c>
      <c r="I40" s="234"/>
      <c r="J40" s="12"/>
      <c r="K40" s="56"/>
      <c r="L40" s="51"/>
      <c r="M40" s="37"/>
      <c r="N40" s="37"/>
      <c r="O40" s="37"/>
      <c r="P40" s="37"/>
      <c r="Q40" s="31" t="s">
        <v>303</v>
      </c>
      <c r="R40" s="233" t="str">
        <f>IF(ISBLANK($H$4),"",$H$4)</f>
        <v>ISO 55001</v>
      </c>
      <c r="S40" s="234"/>
      <c r="T40" s="12"/>
    </row>
    <row r="41" spans="1:20" ht="21" x14ac:dyDescent="0.35">
      <c r="A41" s="54" t="s">
        <v>305</v>
      </c>
      <c r="B41" s="37"/>
      <c r="C41" s="37"/>
      <c r="D41" s="37"/>
      <c r="E41" s="37"/>
      <c r="F41" s="37"/>
      <c r="G41" s="31"/>
      <c r="H41" s="31"/>
      <c r="I41" s="31"/>
      <c r="J41" s="12"/>
      <c r="K41" s="56"/>
      <c r="L41" s="54" t="s">
        <v>305</v>
      </c>
      <c r="M41" s="37"/>
      <c r="N41" s="37"/>
      <c r="O41" s="37"/>
      <c r="P41" s="37"/>
      <c r="Q41" s="37"/>
      <c r="R41" s="37"/>
      <c r="S41" s="31"/>
      <c r="T41" s="12"/>
    </row>
    <row r="42" spans="1:20" x14ac:dyDescent="0.2">
      <c r="A42" s="25"/>
      <c r="B42" s="37"/>
      <c r="C42" s="37"/>
      <c r="D42" s="37"/>
      <c r="E42" s="37"/>
      <c r="F42" s="37"/>
      <c r="G42" s="37"/>
      <c r="H42" s="37"/>
      <c r="I42" s="37"/>
      <c r="J42" s="12"/>
      <c r="K42" s="56"/>
      <c r="L42" s="25"/>
      <c r="M42" s="37"/>
      <c r="N42" s="37"/>
      <c r="O42" s="37"/>
      <c r="P42" s="37"/>
      <c r="Q42" s="37"/>
      <c r="R42" s="37"/>
      <c r="S42" s="37"/>
      <c r="T42" s="12"/>
    </row>
    <row r="43" spans="1:20" s="62" customFormat="1" ht="15" x14ac:dyDescent="0.25">
      <c r="A43" s="59" t="s">
        <v>307</v>
      </c>
      <c r="B43" s="59" t="s">
        <v>308</v>
      </c>
      <c r="C43" s="59" t="s">
        <v>309</v>
      </c>
      <c r="D43" s="59" t="s">
        <v>310</v>
      </c>
      <c r="E43" s="59" t="s">
        <v>311</v>
      </c>
      <c r="F43" s="59" t="s">
        <v>312</v>
      </c>
      <c r="G43" s="59" t="s">
        <v>313</v>
      </c>
      <c r="H43" s="59" t="s">
        <v>314</v>
      </c>
      <c r="I43" s="59" t="s">
        <v>315</v>
      </c>
      <c r="J43" s="60"/>
      <c r="K43" s="61"/>
      <c r="L43" s="59" t="s">
        <v>307</v>
      </c>
      <c r="M43" s="59" t="s">
        <v>308</v>
      </c>
      <c r="N43" s="139" t="s">
        <v>309</v>
      </c>
      <c r="O43" s="59" t="s">
        <v>316</v>
      </c>
      <c r="P43" s="59" t="s">
        <v>317</v>
      </c>
      <c r="Q43" s="59" t="s">
        <v>318</v>
      </c>
      <c r="R43" s="59" t="s">
        <v>319</v>
      </c>
      <c r="S43" s="59" t="s">
        <v>320</v>
      </c>
      <c r="T43" s="60"/>
    </row>
    <row r="44" spans="1:20" s="66" customFormat="1" ht="267.75" x14ac:dyDescent="0.25">
      <c r="A44" s="65">
        <v>48</v>
      </c>
      <c r="B44" s="58" t="s">
        <v>425</v>
      </c>
      <c r="C44" s="141" t="s">
        <v>426</v>
      </c>
      <c r="D44" s="212">
        <v>3</v>
      </c>
      <c r="E44" s="135" t="s">
        <v>714</v>
      </c>
      <c r="F44" s="134"/>
      <c r="G44" s="58" t="s">
        <v>427</v>
      </c>
      <c r="H44" s="58" t="s">
        <v>428</v>
      </c>
      <c r="I44" s="58" t="s">
        <v>429</v>
      </c>
      <c r="J44" s="63"/>
      <c r="K44" s="64"/>
      <c r="L44" s="65">
        <v>48</v>
      </c>
      <c r="M44" s="58" t="s">
        <v>425</v>
      </c>
      <c r="N44" s="138" t="s">
        <v>426</v>
      </c>
      <c r="O44" s="58" t="s">
        <v>430</v>
      </c>
      <c r="P44" s="58" t="s">
        <v>431</v>
      </c>
      <c r="Q44" s="58" t="s">
        <v>432</v>
      </c>
      <c r="R44" s="58" t="s">
        <v>433</v>
      </c>
      <c r="S44" s="58" t="s">
        <v>330</v>
      </c>
      <c r="T44" s="63"/>
    </row>
    <row r="45" spans="1:20" s="66" customFormat="1" ht="220.5" x14ac:dyDescent="0.25">
      <c r="A45" s="65">
        <v>49</v>
      </c>
      <c r="B45" s="58" t="s">
        <v>425</v>
      </c>
      <c r="C45" s="141" t="s">
        <v>434</v>
      </c>
      <c r="D45" s="212">
        <v>2</v>
      </c>
      <c r="E45" s="135" t="s">
        <v>715</v>
      </c>
      <c r="F45" s="134"/>
      <c r="G45" s="58" t="s">
        <v>435</v>
      </c>
      <c r="H45" s="58" t="s">
        <v>428</v>
      </c>
      <c r="I45" s="58" t="s">
        <v>436</v>
      </c>
      <c r="J45" s="63"/>
      <c r="K45" s="64"/>
      <c r="L45" s="65">
        <v>49</v>
      </c>
      <c r="M45" s="58" t="s">
        <v>425</v>
      </c>
      <c r="N45" s="138" t="s">
        <v>434</v>
      </c>
      <c r="O45" s="58" t="s">
        <v>437</v>
      </c>
      <c r="P45" s="58" t="s">
        <v>438</v>
      </c>
      <c r="Q45" s="58" t="s">
        <v>439</v>
      </c>
      <c r="R45" s="58" t="s">
        <v>440</v>
      </c>
      <c r="S45" s="58" t="s">
        <v>330</v>
      </c>
      <c r="T45" s="63"/>
    </row>
    <row r="46" spans="1:20" s="66" customFormat="1" ht="252" x14ac:dyDescent="0.25">
      <c r="A46" s="65">
        <v>50</v>
      </c>
      <c r="B46" s="58" t="s">
        <v>425</v>
      </c>
      <c r="C46" s="141" t="s">
        <v>441</v>
      </c>
      <c r="D46" s="212">
        <v>2</v>
      </c>
      <c r="E46" s="135" t="s">
        <v>716</v>
      </c>
      <c r="F46" s="134"/>
      <c r="G46" s="58" t="s">
        <v>442</v>
      </c>
      <c r="H46" s="58" t="s">
        <v>443</v>
      </c>
      <c r="I46" s="58" t="s">
        <v>444</v>
      </c>
      <c r="J46" s="67"/>
      <c r="K46" s="64"/>
      <c r="L46" s="65">
        <v>50</v>
      </c>
      <c r="M46" s="58" t="s">
        <v>425</v>
      </c>
      <c r="N46" s="138" t="s">
        <v>441</v>
      </c>
      <c r="O46" s="58" t="s">
        <v>445</v>
      </c>
      <c r="P46" s="58" t="s">
        <v>446</v>
      </c>
      <c r="Q46" s="58" t="s">
        <v>447</v>
      </c>
      <c r="R46" s="58" t="s">
        <v>448</v>
      </c>
      <c r="S46" s="58" t="s">
        <v>330</v>
      </c>
      <c r="T46" s="67"/>
    </row>
    <row r="48" spans="1:20" x14ac:dyDescent="0.2">
      <c r="A48" s="17"/>
      <c r="B48" s="18"/>
      <c r="C48" s="18"/>
      <c r="D48" s="18"/>
      <c r="E48" s="18"/>
      <c r="F48" s="18"/>
      <c r="G48" s="18"/>
      <c r="H48" s="18"/>
      <c r="I48" s="18"/>
      <c r="J48" s="19"/>
      <c r="K48" s="56"/>
      <c r="L48" s="17"/>
      <c r="M48" s="18"/>
      <c r="N48" s="18"/>
      <c r="O48" s="18"/>
      <c r="P48" s="18"/>
      <c r="Q48" s="18"/>
      <c r="R48" s="18"/>
      <c r="S48" s="18"/>
      <c r="T48" s="19"/>
    </row>
    <row r="49" spans="1:20" ht="17.25" x14ac:dyDescent="0.3">
      <c r="A49" s="20"/>
      <c r="B49" s="37"/>
      <c r="C49" s="37"/>
      <c r="D49" s="37"/>
      <c r="E49" s="37"/>
      <c r="F49" s="37"/>
      <c r="G49" s="31" t="s">
        <v>1</v>
      </c>
      <c r="H49" s="215" t="str">
        <f>IF(NOT(ISBLANK(CoverSheet!$C$8)),CoverSheet!$C$8,"")</f>
        <v>Aurora Energy Limited</v>
      </c>
      <c r="I49" s="215"/>
      <c r="J49" s="12"/>
      <c r="K49" s="56"/>
      <c r="L49" s="20"/>
      <c r="M49" s="37"/>
      <c r="N49" s="37"/>
      <c r="O49" s="37"/>
      <c r="P49" s="37"/>
      <c r="Q49" s="31" t="s">
        <v>1</v>
      </c>
      <c r="R49" s="215" t="str">
        <f>IF(NOT(ISBLANK(CoverSheet!$C$8)),CoverSheet!$C$8,"")</f>
        <v>Aurora Energy Limited</v>
      </c>
      <c r="S49" s="215"/>
      <c r="T49" s="12"/>
    </row>
    <row r="50" spans="1:20" ht="17.25" x14ac:dyDescent="0.25">
      <c r="A50" s="20"/>
      <c r="B50" s="37"/>
      <c r="C50" s="37"/>
      <c r="D50" s="37"/>
      <c r="E50" s="37"/>
      <c r="F50" s="37"/>
      <c r="G50" s="31" t="s">
        <v>37</v>
      </c>
      <c r="H50" s="225" t="str">
        <f>IF(ISNUMBER(CoverSheet!$C$12),TEXT(CoverSheet!$C$12,"_([$-1409]d mmmm yyyy;_(@")&amp;" –"&amp;TEXT(DATE(YEAR(CoverSheet!$C$12)+10,MONTH(CoverSheet!$C$12),DAY(CoverSheet!$C$12)-1),"_([$-1409]d mmmm yyyy;_(@"),"")</f>
        <v xml:space="preserve"> 1 April 2024 – 31 March 2034</v>
      </c>
      <c r="I50" s="225"/>
      <c r="J50" s="12"/>
      <c r="K50" s="56"/>
      <c r="L50" s="20"/>
      <c r="M50" s="37"/>
      <c r="N50" s="37"/>
      <c r="O50" s="37"/>
      <c r="P50" s="37"/>
      <c r="Q50" s="31" t="s">
        <v>37</v>
      </c>
      <c r="R50" s="225" t="str">
        <f>IF(ISNUMBER(CoverSheet!$C$12),TEXT(CoverSheet!$C$12,"_([$-1409]d mmmm yyyy;_(@")&amp;" –"&amp;TEXT(DATE(YEAR(CoverSheet!$C$12)+10,MONTH(CoverSheet!$C$12),DAY(CoverSheet!$C$12)-1),"_([$-1409]d mmmm yyyy;_(@"),"")</f>
        <v xml:space="preserve"> 1 April 2024 – 31 March 2034</v>
      </c>
      <c r="S50" s="225"/>
      <c r="T50" s="12"/>
    </row>
    <row r="51" spans="1:20" ht="21" x14ac:dyDescent="0.35">
      <c r="A51" s="51"/>
      <c r="B51" s="37"/>
      <c r="C51" s="37"/>
      <c r="D51" s="37"/>
      <c r="E51" s="37"/>
      <c r="F51" s="37"/>
      <c r="G51" s="31" t="s">
        <v>303</v>
      </c>
      <c r="H51" s="233" t="str">
        <f>IF(ISBLANK($H$4),"",$H$4)</f>
        <v>ISO 55001</v>
      </c>
      <c r="I51" s="234"/>
      <c r="J51" s="12"/>
      <c r="K51" s="56"/>
      <c r="L51" s="51"/>
      <c r="M51" s="37"/>
      <c r="N51" s="37"/>
      <c r="O51" s="37"/>
      <c r="P51" s="37"/>
      <c r="Q51" s="31" t="s">
        <v>303</v>
      </c>
      <c r="R51" s="233" t="str">
        <f>IF(ISBLANK($H$4),"",$H$4)</f>
        <v>ISO 55001</v>
      </c>
      <c r="S51" s="234"/>
      <c r="T51" s="12"/>
    </row>
    <row r="52" spans="1:20" ht="21" x14ac:dyDescent="0.35">
      <c r="A52" s="54" t="s">
        <v>305</v>
      </c>
      <c r="B52" s="37"/>
      <c r="C52" s="37"/>
      <c r="D52" s="37"/>
      <c r="E52" s="37"/>
      <c r="F52" s="37"/>
      <c r="G52" s="31"/>
      <c r="H52" s="31"/>
      <c r="I52" s="31"/>
      <c r="J52" s="12"/>
      <c r="K52" s="56"/>
      <c r="L52" s="54" t="s">
        <v>305</v>
      </c>
      <c r="M52" s="37"/>
      <c r="N52" s="37"/>
      <c r="O52" s="37"/>
      <c r="P52" s="37"/>
      <c r="Q52" s="37"/>
      <c r="R52" s="37"/>
      <c r="S52" s="31"/>
      <c r="T52" s="12"/>
    </row>
    <row r="53" spans="1:20" x14ac:dyDescent="0.2">
      <c r="A53" s="25"/>
      <c r="B53" s="37"/>
      <c r="C53" s="37"/>
      <c r="D53" s="37"/>
      <c r="E53" s="37"/>
      <c r="F53" s="37"/>
      <c r="G53" s="37"/>
      <c r="H53" s="37"/>
      <c r="I53" s="37"/>
      <c r="J53" s="12"/>
      <c r="K53" s="56"/>
      <c r="L53" s="25"/>
      <c r="M53" s="37"/>
      <c r="N53" s="37"/>
      <c r="O53" s="37"/>
      <c r="P53" s="37"/>
      <c r="Q53" s="37"/>
      <c r="R53" s="37"/>
      <c r="S53" s="37"/>
      <c r="T53" s="12"/>
    </row>
    <row r="54" spans="1:20" s="62" customFormat="1" ht="15" x14ac:dyDescent="0.25">
      <c r="A54" s="59" t="s">
        <v>307</v>
      </c>
      <c r="B54" s="59" t="s">
        <v>308</v>
      </c>
      <c r="C54" s="59" t="s">
        <v>309</v>
      </c>
      <c r="D54" s="59" t="s">
        <v>310</v>
      </c>
      <c r="E54" s="59" t="s">
        <v>311</v>
      </c>
      <c r="F54" s="59" t="s">
        <v>312</v>
      </c>
      <c r="G54" s="59" t="s">
        <v>313</v>
      </c>
      <c r="H54" s="59" t="s">
        <v>314</v>
      </c>
      <c r="I54" s="59" t="s">
        <v>315</v>
      </c>
      <c r="J54" s="60"/>
      <c r="K54" s="61"/>
      <c r="L54" s="59" t="s">
        <v>307</v>
      </c>
      <c r="M54" s="59" t="s">
        <v>308</v>
      </c>
      <c r="N54" s="139" t="s">
        <v>309</v>
      </c>
      <c r="O54" s="59" t="s">
        <v>316</v>
      </c>
      <c r="P54" s="59" t="s">
        <v>317</v>
      </c>
      <c r="Q54" s="59" t="s">
        <v>318</v>
      </c>
      <c r="R54" s="59" t="s">
        <v>319</v>
      </c>
      <c r="S54" s="59" t="s">
        <v>320</v>
      </c>
      <c r="T54" s="60"/>
    </row>
    <row r="55" spans="1:20" s="66" customFormat="1" ht="217.5" customHeight="1" x14ac:dyDescent="0.25">
      <c r="A55" s="65">
        <v>53</v>
      </c>
      <c r="B55" s="58" t="s">
        <v>449</v>
      </c>
      <c r="C55" s="141" t="s">
        <v>450</v>
      </c>
      <c r="D55" s="212">
        <v>3</v>
      </c>
      <c r="E55" s="135" t="s">
        <v>717</v>
      </c>
      <c r="F55" s="134"/>
      <c r="G55" s="58" t="s">
        <v>451</v>
      </c>
      <c r="H55" s="58" t="s">
        <v>452</v>
      </c>
      <c r="I55" s="58" t="s">
        <v>453</v>
      </c>
      <c r="J55" s="63"/>
      <c r="K55" s="64"/>
      <c r="L55" s="65">
        <v>53</v>
      </c>
      <c r="M55" s="58" t="s">
        <v>449</v>
      </c>
      <c r="N55" s="138" t="s">
        <v>450</v>
      </c>
      <c r="O55" s="58" t="s">
        <v>454</v>
      </c>
      <c r="P55" s="58" t="s">
        <v>455</v>
      </c>
      <c r="Q55" s="58" t="s">
        <v>456</v>
      </c>
      <c r="R55" s="58" t="s">
        <v>457</v>
      </c>
      <c r="S55" s="58" t="s">
        <v>330</v>
      </c>
      <c r="T55" s="63"/>
    </row>
    <row r="56" spans="1:20" s="66" customFormat="1" ht="186" customHeight="1" x14ac:dyDescent="0.25">
      <c r="A56" s="65">
        <v>59</v>
      </c>
      <c r="B56" s="58" t="s">
        <v>458</v>
      </c>
      <c r="C56" s="141" t="s">
        <v>459</v>
      </c>
      <c r="D56" s="212">
        <v>3</v>
      </c>
      <c r="E56" s="135" t="s">
        <v>718</v>
      </c>
      <c r="F56" s="134"/>
      <c r="G56" s="58" t="s">
        <v>460</v>
      </c>
      <c r="H56" s="58" t="s">
        <v>461</v>
      </c>
      <c r="I56" s="58" t="s">
        <v>462</v>
      </c>
      <c r="J56" s="63"/>
      <c r="K56" s="64"/>
      <c r="L56" s="65">
        <v>59</v>
      </c>
      <c r="M56" s="58" t="s">
        <v>458</v>
      </c>
      <c r="N56" s="138" t="s">
        <v>459</v>
      </c>
      <c r="O56" s="58" t="s">
        <v>463</v>
      </c>
      <c r="P56" s="58" t="s">
        <v>464</v>
      </c>
      <c r="Q56" s="58" t="s">
        <v>465</v>
      </c>
      <c r="R56" s="58" t="s">
        <v>466</v>
      </c>
      <c r="S56" s="58" t="s">
        <v>330</v>
      </c>
      <c r="T56" s="63"/>
    </row>
    <row r="57" spans="1:20" s="66" customFormat="1" ht="299.25" x14ac:dyDescent="0.25">
      <c r="A57" s="65">
        <v>62</v>
      </c>
      <c r="B57" s="58" t="s">
        <v>467</v>
      </c>
      <c r="C57" s="141" t="s">
        <v>468</v>
      </c>
      <c r="D57" s="212">
        <v>2</v>
      </c>
      <c r="E57" s="135" t="s">
        <v>719</v>
      </c>
      <c r="F57" s="134"/>
      <c r="G57" s="58" t="s">
        <v>469</v>
      </c>
      <c r="H57" s="58" t="s">
        <v>470</v>
      </c>
      <c r="I57" s="58" t="s">
        <v>471</v>
      </c>
      <c r="J57" s="63"/>
      <c r="K57" s="64"/>
      <c r="L57" s="65">
        <v>62</v>
      </c>
      <c r="M57" s="58" t="s">
        <v>467</v>
      </c>
      <c r="N57" s="138" t="s">
        <v>468</v>
      </c>
      <c r="O57" s="58" t="s">
        <v>472</v>
      </c>
      <c r="P57" s="58" t="s">
        <v>473</v>
      </c>
      <c r="Q57" s="58" t="s">
        <v>474</v>
      </c>
      <c r="R57" s="58" t="s">
        <v>475</v>
      </c>
      <c r="S57" s="58" t="s">
        <v>330</v>
      </c>
      <c r="T57" s="63"/>
    </row>
    <row r="58" spans="1:20" s="66" customFormat="1" ht="199.5" customHeight="1" x14ac:dyDescent="0.25">
      <c r="A58" s="65">
        <v>63</v>
      </c>
      <c r="B58" s="58" t="s">
        <v>467</v>
      </c>
      <c r="C58" s="141" t="s">
        <v>476</v>
      </c>
      <c r="D58" s="212">
        <v>3</v>
      </c>
      <c r="E58" s="135" t="s">
        <v>720</v>
      </c>
      <c r="F58" s="134"/>
      <c r="G58" s="58" t="s">
        <v>477</v>
      </c>
      <c r="H58" s="58" t="s">
        <v>478</v>
      </c>
      <c r="I58" s="58" t="s">
        <v>479</v>
      </c>
      <c r="J58" s="67"/>
      <c r="K58" s="64"/>
      <c r="L58" s="65">
        <v>63</v>
      </c>
      <c r="M58" s="58" t="s">
        <v>467</v>
      </c>
      <c r="N58" s="138" t="s">
        <v>476</v>
      </c>
      <c r="O58" s="58" t="s">
        <v>480</v>
      </c>
      <c r="P58" s="58" t="s">
        <v>481</v>
      </c>
      <c r="Q58" s="58" t="s">
        <v>482</v>
      </c>
      <c r="R58" s="58" t="s">
        <v>483</v>
      </c>
      <c r="S58" s="58" t="s">
        <v>330</v>
      </c>
      <c r="T58" s="67"/>
    </row>
    <row r="60" spans="1:20" x14ac:dyDescent="0.2">
      <c r="A60" s="17"/>
      <c r="B60" s="18"/>
      <c r="C60" s="18"/>
      <c r="D60" s="18"/>
      <c r="E60" s="18"/>
      <c r="F60" s="18"/>
      <c r="G60" s="18"/>
      <c r="H60" s="18"/>
      <c r="I60" s="18"/>
      <c r="J60" s="19"/>
      <c r="K60" s="56"/>
      <c r="L60" s="17"/>
      <c r="M60" s="18"/>
      <c r="N60" s="18"/>
      <c r="O60" s="18"/>
      <c r="P60" s="18"/>
      <c r="Q60" s="18"/>
      <c r="R60" s="18"/>
      <c r="S60" s="18"/>
      <c r="T60" s="19"/>
    </row>
    <row r="61" spans="1:20" ht="17.25" x14ac:dyDescent="0.3">
      <c r="A61" s="20"/>
      <c r="B61" s="37"/>
      <c r="C61" s="37"/>
      <c r="D61" s="37"/>
      <c r="E61" s="37"/>
      <c r="F61" s="37"/>
      <c r="G61" s="31" t="s">
        <v>1</v>
      </c>
      <c r="H61" s="215" t="str">
        <f>IF(NOT(ISBLANK(CoverSheet!$C$8)),CoverSheet!$C$8,"")</f>
        <v>Aurora Energy Limited</v>
      </c>
      <c r="I61" s="215"/>
      <c r="J61" s="12"/>
      <c r="K61" s="56"/>
      <c r="L61" s="20"/>
      <c r="M61" s="37"/>
      <c r="N61" s="37"/>
      <c r="O61" s="37"/>
      <c r="P61" s="37"/>
      <c r="Q61" s="31" t="s">
        <v>1</v>
      </c>
      <c r="R61" s="235" t="str">
        <f>IF(NOT(ISBLANK(CoverSheet!$C$8)),CoverSheet!$C$8,"")</f>
        <v>Aurora Energy Limited</v>
      </c>
      <c r="S61" s="236"/>
      <c r="T61" s="12"/>
    </row>
    <row r="62" spans="1:20" ht="17.25" x14ac:dyDescent="0.25">
      <c r="A62" s="20"/>
      <c r="B62" s="37"/>
      <c r="C62" s="37"/>
      <c r="D62" s="37"/>
      <c r="E62" s="37"/>
      <c r="F62" s="37"/>
      <c r="G62" s="31" t="s">
        <v>37</v>
      </c>
      <c r="H62" s="225" t="str">
        <f>IF(ISNUMBER(CoverSheet!$C$12),TEXT(CoverSheet!$C$12,"_([$-1409]d mmmm yyyy;_(@")&amp;" –"&amp;TEXT(DATE(YEAR(CoverSheet!$C$12)+10,MONTH(CoverSheet!$C$12),DAY(CoverSheet!$C$12)-1),"_([$-1409]d mmmm yyyy;_(@"),"")</f>
        <v xml:space="preserve"> 1 April 2024 – 31 March 2034</v>
      </c>
      <c r="I62" s="225"/>
      <c r="J62" s="12"/>
      <c r="K62" s="56"/>
      <c r="L62" s="20"/>
      <c r="M62" s="37"/>
      <c r="N62" s="37"/>
      <c r="O62" s="37"/>
      <c r="P62" s="37"/>
      <c r="Q62" s="31" t="s">
        <v>37</v>
      </c>
      <c r="R62" s="233" t="str">
        <f>IF(ISNUMBER(CoverSheet!$C$12),TEXT(CoverSheet!$C$12,"_([$-1409]d mmmm yyyy;_(@")&amp;" –"&amp;TEXT(DATE(YEAR(CoverSheet!$C$12)+10,MONTH(CoverSheet!$C$12),DAY(CoverSheet!$C$12)-1),"_([$-1409]d mmmm yyyy;_(@"),"")</f>
        <v xml:space="preserve"> 1 April 2024 – 31 March 2034</v>
      </c>
      <c r="S62" s="234"/>
      <c r="T62" s="12"/>
    </row>
    <row r="63" spans="1:20" ht="21" x14ac:dyDescent="0.35">
      <c r="A63" s="51"/>
      <c r="B63" s="37"/>
      <c r="C63" s="37"/>
      <c r="D63" s="37"/>
      <c r="E63" s="37"/>
      <c r="F63" s="37"/>
      <c r="G63" s="31" t="s">
        <v>303</v>
      </c>
      <c r="H63" s="233" t="str">
        <f>IF(ISBLANK($H$4),"",$H$4)</f>
        <v>ISO 55001</v>
      </c>
      <c r="I63" s="234"/>
      <c r="J63" s="12"/>
      <c r="K63" s="56"/>
      <c r="L63" s="51"/>
      <c r="M63" s="37"/>
      <c r="N63" s="37"/>
      <c r="O63" s="37"/>
      <c r="P63" s="37"/>
      <c r="Q63" s="31" t="s">
        <v>303</v>
      </c>
      <c r="R63" s="233" t="str">
        <f>IF(ISBLANK($H$4),"",$H$4)</f>
        <v>ISO 55001</v>
      </c>
      <c r="S63" s="234"/>
      <c r="T63" s="12"/>
    </row>
    <row r="64" spans="1:20" ht="21" x14ac:dyDescent="0.35">
      <c r="A64" s="54" t="s">
        <v>305</v>
      </c>
      <c r="B64" s="37"/>
      <c r="C64" s="37"/>
      <c r="D64" s="37"/>
      <c r="E64" s="37"/>
      <c r="F64" s="37"/>
      <c r="G64" s="31"/>
      <c r="H64" s="31"/>
      <c r="I64" s="31"/>
      <c r="J64" s="12"/>
      <c r="K64" s="56"/>
      <c r="L64" s="54" t="s">
        <v>305</v>
      </c>
      <c r="M64" s="37"/>
      <c r="N64" s="37"/>
      <c r="O64" s="37"/>
      <c r="P64" s="37"/>
      <c r="Q64" s="37"/>
      <c r="R64" s="37"/>
      <c r="S64" s="31"/>
      <c r="T64" s="12"/>
    </row>
    <row r="65" spans="1:20" x14ac:dyDescent="0.2">
      <c r="A65" s="25"/>
      <c r="B65" s="37"/>
      <c r="C65" s="37"/>
      <c r="D65" s="37"/>
      <c r="E65" s="37"/>
      <c r="F65" s="37"/>
      <c r="G65" s="37"/>
      <c r="H65" s="37"/>
      <c r="I65" s="37"/>
      <c r="J65" s="12"/>
      <c r="K65" s="56"/>
      <c r="L65" s="25"/>
      <c r="M65" s="37"/>
      <c r="N65" s="37"/>
      <c r="O65" s="37"/>
      <c r="P65" s="37"/>
      <c r="Q65" s="37"/>
      <c r="R65" s="37"/>
      <c r="S65" s="37"/>
      <c r="T65" s="12"/>
    </row>
    <row r="66" spans="1:20" s="62" customFormat="1" ht="15" x14ac:dyDescent="0.25">
      <c r="A66" s="59" t="s">
        <v>307</v>
      </c>
      <c r="B66" s="59" t="s">
        <v>308</v>
      </c>
      <c r="C66" s="59" t="s">
        <v>309</v>
      </c>
      <c r="D66" s="59" t="s">
        <v>310</v>
      </c>
      <c r="E66" s="59" t="s">
        <v>311</v>
      </c>
      <c r="F66" s="59" t="s">
        <v>312</v>
      </c>
      <c r="G66" s="59" t="s">
        <v>313</v>
      </c>
      <c r="H66" s="59" t="s">
        <v>314</v>
      </c>
      <c r="I66" s="59" t="s">
        <v>315</v>
      </c>
      <c r="J66" s="60"/>
      <c r="K66" s="61"/>
      <c r="L66" s="59" t="s">
        <v>307</v>
      </c>
      <c r="M66" s="59" t="s">
        <v>308</v>
      </c>
      <c r="N66" s="139" t="s">
        <v>309</v>
      </c>
      <c r="O66" s="59" t="s">
        <v>316</v>
      </c>
      <c r="P66" s="59" t="s">
        <v>317</v>
      </c>
      <c r="Q66" s="59" t="s">
        <v>318</v>
      </c>
      <c r="R66" s="59" t="s">
        <v>319</v>
      </c>
      <c r="S66" s="59" t="s">
        <v>320</v>
      </c>
      <c r="T66" s="60"/>
    </row>
    <row r="67" spans="1:20" s="66" customFormat="1" ht="177" customHeight="1" x14ac:dyDescent="0.25">
      <c r="A67" s="65">
        <v>64</v>
      </c>
      <c r="B67" s="58" t="s">
        <v>467</v>
      </c>
      <c r="C67" s="141" t="s">
        <v>484</v>
      </c>
      <c r="D67" s="212">
        <v>2</v>
      </c>
      <c r="E67" s="135" t="s">
        <v>721</v>
      </c>
      <c r="F67" s="134"/>
      <c r="G67" s="58" t="s">
        <v>485</v>
      </c>
      <c r="H67" s="58" t="s">
        <v>486</v>
      </c>
      <c r="I67" s="58" t="s">
        <v>487</v>
      </c>
      <c r="J67" s="63"/>
      <c r="K67" s="64"/>
      <c r="L67" s="65">
        <v>64</v>
      </c>
      <c r="M67" s="58" t="s">
        <v>467</v>
      </c>
      <c r="N67" s="138" t="s">
        <v>484</v>
      </c>
      <c r="O67" s="58" t="s">
        <v>488</v>
      </c>
      <c r="P67" s="58" t="s">
        <v>489</v>
      </c>
      <c r="Q67" s="58" t="s">
        <v>490</v>
      </c>
      <c r="R67" s="58" t="s">
        <v>491</v>
      </c>
      <c r="S67" s="58" t="s">
        <v>330</v>
      </c>
      <c r="T67" s="63"/>
    </row>
    <row r="68" spans="1:20" s="66" customFormat="1" ht="337.5" customHeight="1" x14ac:dyDescent="0.25">
      <c r="A68" s="65">
        <v>69</v>
      </c>
      <c r="B68" s="58" t="s">
        <v>492</v>
      </c>
      <c r="C68" s="141" t="s">
        <v>493</v>
      </c>
      <c r="D68" s="212">
        <v>2</v>
      </c>
      <c r="E68" s="135" t="s">
        <v>722</v>
      </c>
      <c r="F68" s="134"/>
      <c r="G68" s="58" t="s">
        <v>494</v>
      </c>
      <c r="H68" s="58" t="s">
        <v>495</v>
      </c>
      <c r="I68" s="58" t="s">
        <v>496</v>
      </c>
      <c r="J68" s="63"/>
      <c r="K68" s="64"/>
      <c r="L68" s="65">
        <v>69</v>
      </c>
      <c r="M68" s="58" t="s">
        <v>492</v>
      </c>
      <c r="N68" s="138" t="s">
        <v>493</v>
      </c>
      <c r="O68" s="58" t="s">
        <v>497</v>
      </c>
      <c r="P68" s="58" t="s">
        <v>498</v>
      </c>
      <c r="Q68" s="58" t="s">
        <v>499</v>
      </c>
      <c r="R68" s="58" t="s">
        <v>500</v>
      </c>
      <c r="S68" s="58" t="s">
        <v>330</v>
      </c>
      <c r="T68" s="63"/>
    </row>
    <row r="69" spans="1:20" s="66" customFormat="1" ht="126" x14ac:dyDescent="0.25">
      <c r="A69" s="65">
        <v>79</v>
      </c>
      <c r="B69" s="58" t="s">
        <v>501</v>
      </c>
      <c r="C69" s="141" t="s">
        <v>502</v>
      </c>
      <c r="D69" s="212">
        <v>2</v>
      </c>
      <c r="E69" s="135" t="s">
        <v>723</v>
      </c>
      <c r="F69" s="134"/>
      <c r="G69" s="58" t="s">
        <v>503</v>
      </c>
      <c r="H69" s="58" t="s">
        <v>504</v>
      </c>
      <c r="I69" s="58" t="s">
        <v>505</v>
      </c>
      <c r="J69" s="63"/>
      <c r="K69" s="64"/>
      <c r="L69" s="65">
        <v>79</v>
      </c>
      <c r="M69" s="58" t="s">
        <v>501</v>
      </c>
      <c r="N69" s="138" t="s">
        <v>502</v>
      </c>
      <c r="O69" s="58" t="s">
        <v>506</v>
      </c>
      <c r="P69" s="58" t="s">
        <v>507</v>
      </c>
      <c r="Q69" s="58" t="s">
        <v>508</v>
      </c>
      <c r="R69" s="58" t="s">
        <v>509</v>
      </c>
      <c r="S69" s="58" t="s">
        <v>330</v>
      </c>
      <c r="T69" s="63"/>
    </row>
    <row r="70" spans="1:20" s="66" customFormat="1" ht="157.5" x14ac:dyDescent="0.25">
      <c r="A70" s="65">
        <v>82</v>
      </c>
      <c r="B70" s="58" t="s">
        <v>510</v>
      </c>
      <c r="C70" s="141" t="s">
        <v>511</v>
      </c>
      <c r="D70" s="212">
        <v>3</v>
      </c>
      <c r="E70" s="135" t="s">
        <v>724</v>
      </c>
      <c r="F70" s="134"/>
      <c r="G70" s="58" t="s">
        <v>512</v>
      </c>
      <c r="H70" s="58" t="s">
        <v>513</v>
      </c>
      <c r="I70" s="58" t="s">
        <v>514</v>
      </c>
      <c r="J70" s="67"/>
      <c r="K70" s="64"/>
      <c r="L70" s="65">
        <v>82</v>
      </c>
      <c r="M70" s="58" t="s">
        <v>510</v>
      </c>
      <c r="N70" s="138" t="s">
        <v>511</v>
      </c>
      <c r="O70" s="58" t="s">
        <v>515</v>
      </c>
      <c r="P70" s="58" t="s">
        <v>516</v>
      </c>
      <c r="Q70" s="58" t="s">
        <v>517</v>
      </c>
      <c r="R70" s="58" t="s">
        <v>518</v>
      </c>
      <c r="S70" s="58" t="s">
        <v>330</v>
      </c>
      <c r="T70" s="67"/>
    </row>
    <row r="72" spans="1:20" x14ac:dyDescent="0.2">
      <c r="A72" s="17"/>
      <c r="B72" s="18"/>
      <c r="C72" s="18"/>
      <c r="D72" s="18"/>
      <c r="E72" s="18"/>
      <c r="F72" s="18"/>
      <c r="G72" s="18"/>
      <c r="H72" s="18"/>
      <c r="I72" s="18"/>
      <c r="J72" s="19"/>
      <c r="K72" s="56"/>
      <c r="L72" s="17"/>
      <c r="M72" s="18"/>
      <c r="N72" s="18"/>
      <c r="O72" s="18"/>
      <c r="P72" s="18"/>
      <c r="Q72" s="18"/>
      <c r="R72" s="18"/>
      <c r="S72" s="18"/>
      <c r="T72" s="19"/>
    </row>
    <row r="73" spans="1:20" ht="17.25" x14ac:dyDescent="0.3">
      <c r="A73" s="20"/>
      <c r="B73" s="37"/>
      <c r="C73" s="37"/>
      <c r="D73" s="37"/>
      <c r="E73" s="37"/>
      <c r="F73" s="37"/>
      <c r="G73" s="31" t="s">
        <v>1</v>
      </c>
      <c r="H73" s="215" t="str">
        <f>IF(NOT(ISBLANK(CoverSheet!$C$8)),CoverSheet!$C$8,"")</f>
        <v>Aurora Energy Limited</v>
      </c>
      <c r="I73" s="215"/>
      <c r="J73" s="12"/>
      <c r="K73" s="56"/>
      <c r="L73" s="20"/>
      <c r="M73" s="37"/>
      <c r="N73" s="37"/>
      <c r="O73" s="37"/>
      <c r="P73" s="37"/>
      <c r="Q73" s="31" t="s">
        <v>1</v>
      </c>
      <c r="R73" s="235" t="str">
        <f>IF(NOT(ISBLANK(CoverSheet!$C$8)),CoverSheet!$C$8,"")</f>
        <v>Aurora Energy Limited</v>
      </c>
      <c r="S73" s="236"/>
      <c r="T73" s="12"/>
    </row>
    <row r="74" spans="1:20" ht="17.25" x14ac:dyDescent="0.25">
      <c r="A74" s="20"/>
      <c r="B74" s="37"/>
      <c r="C74" s="37"/>
      <c r="D74" s="37"/>
      <c r="E74" s="37"/>
      <c r="F74" s="37"/>
      <c r="G74" s="31" t="s">
        <v>37</v>
      </c>
      <c r="H74" s="225" t="str">
        <f>IF(ISNUMBER(CoverSheet!$C$12),TEXT(CoverSheet!$C$12,"_([$-1409]d mmmm yyyy;_(@")&amp;" –"&amp;TEXT(DATE(YEAR(CoverSheet!$C$12)+10,MONTH(CoverSheet!$C$12),DAY(CoverSheet!$C$12)-1),"_([$-1409]d mmmm yyyy;_(@"),"")</f>
        <v xml:space="preserve"> 1 April 2024 – 31 March 2034</v>
      </c>
      <c r="I74" s="225"/>
      <c r="J74" s="12"/>
      <c r="K74" s="56"/>
      <c r="L74" s="20"/>
      <c r="M74" s="37"/>
      <c r="N74" s="37"/>
      <c r="O74" s="37"/>
      <c r="P74" s="37"/>
      <c r="Q74" s="31" t="s">
        <v>37</v>
      </c>
      <c r="R74" s="233" t="str">
        <f>IF(ISNUMBER(CoverSheet!$C$12),TEXT(CoverSheet!$C$12,"_([$-1409]d mmmm yyyy;_(@")&amp;" –"&amp;TEXT(DATE(YEAR(CoverSheet!$C$12)+10,MONTH(CoverSheet!$C$12),DAY(CoverSheet!$C$12)-1),"_([$-1409]d mmmm yyyy;_(@"),"")</f>
        <v xml:space="preserve"> 1 April 2024 – 31 March 2034</v>
      </c>
      <c r="S74" s="234"/>
      <c r="T74" s="12"/>
    </row>
    <row r="75" spans="1:20" ht="21" x14ac:dyDescent="0.35">
      <c r="A75" s="51"/>
      <c r="B75" s="37"/>
      <c r="C75" s="37"/>
      <c r="D75" s="37"/>
      <c r="E75" s="37"/>
      <c r="F75" s="37"/>
      <c r="G75" s="31" t="s">
        <v>303</v>
      </c>
      <c r="H75" s="233" t="str">
        <f>IF(ISBLANK($H$4),"",$H$4)</f>
        <v>ISO 55001</v>
      </c>
      <c r="I75" s="234"/>
      <c r="J75" s="12"/>
      <c r="K75" s="56"/>
      <c r="L75" s="51"/>
      <c r="M75" s="37"/>
      <c r="N75" s="37"/>
      <c r="O75" s="37"/>
      <c r="P75" s="37"/>
      <c r="Q75" s="31" t="s">
        <v>303</v>
      </c>
      <c r="R75" s="233" t="str">
        <f>IF(ISBLANK($H$4),"",$H$4)</f>
        <v>ISO 55001</v>
      </c>
      <c r="S75" s="234"/>
      <c r="T75" s="12"/>
    </row>
    <row r="76" spans="1:20" ht="21" x14ac:dyDescent="0.35">
      <c r="A76" s="54" t="s">
        <v>305</v>
      </c>
      <c r="B76" s="37"/>
      <c r="C76" s="37"/>
      <c r="D76" s="37"/>
      <c r="E76" s="37"/>
      <c r="F76" s="37"/>
      <c r="G76" s="31"/>
      <c r="H76" s="31"/>
      <c r="I76" s="31"/>
      <c r="J76" s="12"/>
      <c r="K76" s="56"/>
      <c r="L76" s="54" t="s">
        <v>305</v>
      </c>
      <c r="M76" s="37"/>
      <c r="N76" s="37"/>
      <c r="O76" s="37"/>
      <c r="P76" s="37"/>
      <c r="Q76" s="37"/>
      <c r="R76" s="37"/>
      <c r="S76" s="31"/>
      <c r="T76" s="12"/>
    </row>
    <row r="77" spans="1:20" x14ac:dyDescent="0.2">
      <c r="A77" s="25"/>
      <c r="B77" s="37"/>
      <c r="C77" s="37"/>
      <c r="D77" s="37"/>
      <c r="E77" s="37"/>
      <c r="F77" s="37"/>
      <c r="G77" s="37"/>
      <c r="H77" s="37"/>
      <c r="I77" s="37"/>
      <c r="J77" s="12"/>
      <c r="K77" s="56"/>
      <c r="L77" s="25"/>
      <c r="M77" s="37"/>
      <c r="N77" s="37"/>
      <c r="O77" s="37"/>
      <c r="P77" s="37"/>
      <c r="Q77" s="37"/>
      <c r="R77" s="37"/>
      <c r="S77" s="37"/>
      <c r="T77" s="12"/>
    </row>
    <row r="78" spans="1:20" s="62" customFormat="1" ht="15" x14ac:dyDescent="0.25">
      <c r="A78" s="59" t="s">
        <v>307</v>
      </c>
      <c r="B78" s="59" t="s">
        <v>308</v>
      </c>
      <c r="C78" s="59" t="s">
        <v>309</v>
      </c>
      <c r="D78" s="59" t="s">
        <v>310</v>
      </c>
      <c r="E78" s="59" t="s">
        <v>311</v>
      </c>
      <c r="F78" s="59" t="s">
        <v>312</v>
      </c>
      <c r="G78" s="59" t="s">
        <v>313</v>
      </c>
      <c r="H78" s="59" t="s">
        <v>314</v>
      </c>
      <c r="I78" s="59" t="s">
        <v>315</v>
      </c>
      <c r="J78" s="60"/>
      <c r="K78" s="61"/>
      <c r="L78" s="59" t="s">
        <v>307</v>
      </c>
      <c r="M78" s="59" t="s">
        <v>308</v>
      </c>
      <c r="N78" s="139" t="s">
        <v>309</v>
      </c>
      <c r="O78" s="59" t="s">
        <v>316</v>
      </c>
      <c r="P78" s="59" t="s">
        <v>317</v>
      </c>
      <c r="Q78" s="59" t="s">
        <v>318</v>
      </c>
      <c r="R78" s="59" t="s">
        <v>319</v>
      </c>
      <c r="S78" s="59" t="s">
        <v>320</v>
      </c>
      <c r="T78" s="60"/>
    </row>
    <row r="79" spans="1:20" s="66" customFormat="1" ht="199.5" customHeight="1" x14ac:dyDescent="0.25">
      <c r="A79" s="65">
        <v>88</v>
      </c>
      <c r="B79" s="58" t="s">
        <v>519</v>
      </c>
      <c r="C79" s="141" t="s">
        <v>520</v>
      </c>
      <c r="D79" s="212">
        <v>3</v>
      </c>
      <c r="E79" s="135" t="s">
        <v>725</v>
      </c>
      <c r="F79" s="134"/>
      <c r="G79" s="58" t="s">
        <v>521</v>
      </c>
      <c r="H79" s="58" t="s">
        <v>522</v>
      </c>
      <c r="I79" s="58" t="s">
        <v>523</v>
      </c>
      <c r="J79" s="63"/>
      <c r="K79" s="64"/>
      <c r="L79" s="65">
        <v>88</v>
      </c>
      <c r="M79" s="58" t="s">
        <v>519</v>
      </c>
      <c r="N79" s="138" t="s">
        <v>520</v>
      </c>
      <c r="O79" s="58" t="s">
        <v>524</v>
      </c>
      <c r="P79" s="58" t="s">
        <v>525</v>
      </c>
      <c r="Q79" s="58" t="s">
        <v>526</v>
      </c>
      <c r="R79" s="58" t="s">
        <v>527</v>
      </c>
      <c r="S79" s="58" t="s">
        <v>330</v>
      </c>
      <c r="T79" s="63"/>
    </row>
    <row r="80" spans="1:20" s="66" customFormat="1" ht="279" customHeight="1" x14ac:dyDescent="0.25">
      <c r="A80" s="65">
        <v>91</v>
      </c>
      <c r="B80" s="58" t="s">
        <v>519</v>
      </c>
      <c r="C80" s="141" t="s">
        <v>528</v>
      </c>
      <c r="D80" s="212">
        <v>2</v>
      </c>
      <c r="E80" s="135" t="s">
        <v>726</v>
      </c>
      <c r="F80" s="134"/>
      <c r="G80" s="58" t="s">
        <v>529</v>
      </c>
      <c r="H80" s="58" t="s">
        <v>530</v>
      </c>
      <c r="I80" s="58" t="s">
        <v>531</v>
      </c>
      <c r="J80" s="63"/>
      <c r="K80" s="64"/>
      <c r="L80" s="65">
        <v>91</v>
      </c>
      <c r="M80" s="58" t="s">
        <v>519</v>
      </c>
      <c r="N80" s="138" t="s">
        <v>528</v>
      </c>
      <c r="O80" s="58" t="s">
        <v>532</v>
      </c>
      <c r="P80" s="58" t="s">
        <v>533</v>
      </c>
      <c r="Q80" s="58" t="s">
        <v>534</v>
      </c>
      <c r="R80" s="58" t="s">
        <v>535</v>
      </c>
      <c r="S80" s="58" t="s">
        <v>330</v>
      </c>
      <c r="T80" s="63"/>
    </row>
    <row r="81" spans="1:20" s="66" customFormat="1" ht="251.25" customHeight="1" x14ac:dyDescent="0.25">
      <c r="A81" s="65">
        <v>95</v>
      </c>
      <c r="B81" s="58" t="s">
        <v>536</v>
      </c>
      <c r="C81" s="141" t="s">
        <v>537</v>
      </c>
      <c r="D81" s="212">
        <v>2</v>
      </c>
      <c r="E81" s="135" t="s">
        <v>727</v>
      </c>
      <c r="F81" s="134"/>
      <c r="G81" s="58" t="s">
        <v>538</v>
      </c>
      <c r="H81" s="58" t="s">
        <v>539</v>
      </c>
      <c r="I81" s="58" t="s">
        <v>540</v>
      </c>
      <c r="J81" s="63"/>
      <c r="K81" s="64"/>
      <c r="L81" s="65">
        <v>95</v>
      </c>
      <c r="M81" s="58" t="s">
        <v>536</v>
      </c>
      <c r="N81" s="138" t="s">
        <v>537</v>
      </c>
      <c r="O81" s="58" t="s">
        <v>541</v>
      </c>
      <c r="P81" s="58" t="s">
        <v>542</v>
      </c>
      <c r="Q81" s="58" t="s">
        <v>543</v>
      </c>
      <c r="R81" s="58" t="s">
        <v>544</v>
      </c>
      <c r="S81" s="58" t="s">
        <v>330</v>
      </c>
      <c r="T81" s="63"/>
    </row>
    <row r="82" spans="1:20" s="66" customFormat="1" ht="219.75" customHeight="1" x14ac:dyDescent="0.25">
      <c r="A82" s="65">
        <v>99</v>
      </c>
      <c r="B82" s="58" t="s">
        <v>545</v>
      </c>
      <c r="C82" s="141" t="s">
        <v>546</v>
      </c>
      <c r="D82" s="212">
        <v>3</v>
      </c>
      <c r="E82" s="135" t="s">
        <v>728</v>
      </c>
      <c r="F82" s="134"/>
      <c r="G82" s="58" t="s">
        <v>547</v>
      </c>
      <c r="H82" s="58" t="s">
        <v>548</v>
      </c>
      <c r="I82" s="58" t="s">
        <v>549</v>
      </c>
      <c r="J82" s="67"/>
      <c r="K82" s="64"/>
      <c r="L82" s="65">
        <v>99</v>
      </c>
      <c r="M82" s="58" t="s">
        <v>545</v>
      </c>
      <c r="N82" s="138" t="s">
        <v>546</v>
      </c>
      <c r="O82" s="58" t="s">
        <v>550</v>
      </c>
      <c r="P82" s="58" t="s">
        <v>551</v>
      </c>
      <c r="Q82" s="58" t="s">
        <v>552</v>
      </c>
      <c r="R82" s="58" t="s">
        <v>553</v>
      </c>
      <c r="S82" s="58" t="s">
        <v>330</v>
      </c>
      <c r="T82" s="67"/>
    </row>
    <row r="84" spans="1:20" x14ac:dyDescent="0.2">
      <c r="A84" s="17"/>
      <c r="B84" s="18"/>
      <c r="C84" s="18"/>
      <c r="D84" s="18"/>
      <c r="E84" s="18"/>
      <c r="F84" s="18"/>
      <c r="G84" s="18"/>
      <c r="H84" s="18"/>
      <c r="I84" s="18"/>
      <c r="J84" s="19"/>
      <c r="K84" s="56"/>
      <c r="L84" s="17"/>
      <c r="M84" s="18"/>
      <c r="N84" s="18"/>
      <c r="O84" s="18"/>
      <c r="P84" s="18"/>
      <c r="Q84" s="18"/>
      <c r="R84" s="18"/>
      <c r="S84" s="18"/>
      <c r="T84" s="19"/>
    </row>
    <row r="85" spans="1:20" ht="17.25" x14ac:dyDescent="0.3">
      <c r="A85" s="20"/>
      <c r="B85" s="37"/>
      <c r="C85" s="37"/>
      <c r="D85" s="37"/>
      <c r="E85" s="37"/>
      <c r="F85" s="37"/>
      <c r="G85" s="31" t="s">
        <v>1</v>
      </c>
      <c r="H85" s="215" t="str">
        <f>IF(NOT(ISBLANK(CoverSheet!$C$8)),CoverSheet!$C$8,"")</f>
        <v>Aurora Energy Limited</v>
      </c>
      <c r="I85" s="215"/>
      <c r="J85" s="12"/>
      <c r="K85" s="56"/>
      <c r="L85" s="20"/>
      <c r="M85" s="37"/>
      <c r="N85" s="37"/>
      <c r="O85" s="37"/>
      <c r="P85" s="37"/>
      <c r="Q85" s="31" t="s">
        <v>1</v>
      </c>
      <c r="R85" s="235" t="str">
        <f>IF(NOT(ISBLANK(CoverSheet!$C$8)),CoverSheet!$C$8,"")</f>
        <v>Aurora Energy Limited</v>
      </c>
      <c r="S85" s="236"/>
      <c r="T85" s="12"/>
    </row>
    <row r="86" spans="1:20" ht="17.25" x14ac:dyDescent="0.25">
      <c r="A86" s="20"/>
      <c r="B86" s="37"/>
      <c r="C86" s="37"/>
      <c r="D86" s="37"/>
      <c r="E86" s="37"/>
      <c r="F86" s="37"/>
      <c r="G86" s="31" t="s">
        <v>37</v>
      </c>
      <c r="H86" s="225" t="str">
        <f>IF(ISNUMBER(CoverSheet!$C$12),TEXT(CoverSheet!$C$12,"_([$-1409]d mmmm yyyy;_(@")&amp;" –"&amp;TEXT(DATE(YEAR(CoverSheet!$C$12)+10,MONTH(CoverSheet!$C$12),DAY(CoverSheet!$C$12)-1),"_([$-1409]d mmmm yyyy;_(@"),"")</f>
        <v xml:space="preserve"> 1 April 2024 – 31 March 2034</v>
      </c>
      <c r="I86" s="225"/>
      <c r="J86" s="12"/>
      <c r="K86" s="56"/>
      <c r="L86" s="20"/>
      <c r="M86" s="37"/>
      <c r="N86" s="37"/>
      <c r="O86" s="37"/>
      <c r="P86" s="37"/>
      <c r="Q86" s="31" t="s">
        <v>37</v>
      </c>
      <c r="R86" s="233" t="str">
        <f>IF(ISNUMBER(CoverSheet!$C$12),TEXT(CoverSheet!$C$12,"_([$-1409]d mmmm yyyy;_(@")&amp;" –"&amp;TEXT(DATE(YEAR(CoverSheet!$C$12)+10,MONTH(CoverSheet!$C$12),DAY(CoverSheet!$C$12)-1),"_([$-1409]d mmmm yyyy;_(@"),"")</f>
        <v xml:space="preserve"> 1 April 2024 – 31 March 2034</v>
      </c>
      <c r="S86" s="234"/>
      <c r="T86" s="12"/>
    </row>
    <row r="87" spans="1:20" ht="21" x14ac:dyDescent="0.35">
      <c r="A87" s="51"/>
      <c r="B87" s="37"/>
      <c r="C87" s="37"/>
      <c r="D87" s="37"/>
      <c r="E87" s="37"/>
      <c r="F87" s="37"/>
      <c r="G87" s="31" t="s">
        <v>303</v>
      </c>
      <c r="H87" s="233" t="str">
        <f>IF(ISBLANK($H$4),"",$H$4)</f>
        <v>ISO 55001</v>
      </c>
      <c r="I87" s="234"/>
      <c r="J87" s="12"/>
      <c r="K87" s="56"/>
      <c r="L87" s="51"/>
      <c r="M87" s="37"/>
      <c r="N87" s="37"/>
      <c r="O87" s="37"/>
      <c r="P87" s="37"/>
      <c r="Q87" s="31" t="s">
        <v>303</v>
      </c>
      <c r="R87" s="233" t="str">
        <f>IF(ISBLANK($H$4),"",$H$4)</f>
        <v>ISO 55001</v>
      </c>
      <c r="S87" s="234"/>
      <c r="T87" s="12"/>
    </row>
    <row r="88" spans="1:20" ht="21" x14ac:dyDescent="0.35">
      <c r="A88" s="54" t="s">
        <v>305</v>
      </c>
      <c r="B88" s="37"/>
      <c r="C88" s="37"/>
      <c r="D88" s="37"/>
      <c r="E88" s="37"/>
      <c r="F88" s="37"/>
      <c r="G88" s="31"/>
      <c r="H88" s="31"/>
      <c r="I88" s="31"/>
      <c r="J88" s="12"/>
      <c r="K88" s="56"/>
      <c r="L88" s="54" t="s">
        <v>305</v>
      </c>
      <c r="M88" s="37"/>
      <c r="N88" s="37"/>
      <c r="O88" s="37"/>
      <c r="P88" s="37"/>
      <c r="Q88" s="37"/>
      <c r="R88" s="37"/>
      <c r="S88" s="31"/>
      <c r="T88" s="12"/>
    </row>
    <row r="89" spans="1:20" x14ac:dyDescent="0.2">
      <c r="A89" s="25"/>
      <c r="B89" s="37"/>
      <c r="C89" s="37"/>
      <c r="D89" s="37"/>
      <c r="E89" s="37"/>
      <c r="F89" s="37"/>
      <c r="G89" s="37"/>
      <c r="H89" s="37"/>
      <c r="I89" s="37"/>
      <c r="J89" s="12"/>
      <c r="K89" s="56"/>
      <c r="L89" s="25"/>
      <c r="M89" s="37"/>
      <c r="N89" s="37"/>
      <c r="O89" s="37"/>
      <c r="P89" s="37"/>
      <c r="Q89" s="37"/>
      <c r="R89" s="37"/>
      <c r="S89" s="37"/>
      <c r="T89" s="12"/>
    </row>
    <row r="90" spans="1:20" s="62" customFormat="1" ht="15" x14ac:dyDescent="0.25">
      <c r="A90" s="59" t="s">
        <v>307</v>
      </c>
      <c r="B90" s="59" t="s">
        <v>308</v>
      </c>
      <c r="C90" s="59" t="s">
        <v>309</v>
      </c>
      <c r="D90" s="59" t="s">
        <v>310</v>
      </c>
      <c r="E90" s="59" t="s">
        <v>311</v>
      </c>
      <c r="F90" s="59" t="s">
        <v>312</v>
      </c>
      <c r="G90" s="59" t="s">
        <v>313</v>
      </c>
      <c r="H90" s="59" t="s">
        <v>314</v>
      </c>
      <c r="I90" s="59" t="s">
        <v>315</v>
      </c>
      <c r="J90" s="60"/>
      <c r="K90" s="61"/>
      <c r="L90" s="59" t="s">
        <v>307</v>
      </c>
      <c r="M90" s="59" t="s">
        <v>308</v>
      </c>
      <c r="N90" s="139" t="s">
        <v>309</v>
      </c>
      <c r="O90" s="59" t="s">
        <v>316</v>
      </c>
      <c r="P90" s="59" t="s">
        <v>317</v>
      </c>
      <c r="Q90" s="59" t="s">
        <v>318</v>
      </c>
      <c r="R90" s="59" t="s">
        <v>319</v>
      </c>
      <c r="S90" s="59" t="s">
        <v>320</v>
      </c>
      <c r="T90" s="60"/>
    </row>
    <row r="91" spans="1:20" s="66" customFormat="1" ht="264.75" customHeight="1" x14ac:dyDescent="0.25">
      <c r="A91" s="65">
        <v>105</v>
      </c>
      <c r="B91" s="58" t="s">
        <v>554</v>
      </c>
      <c r="C91" s="141" t="s">
        <v>555</v>
      </c>
      <c r="D91" s="212">
        <v>2</v>
      </c>
      <c r="E91" s="135" t="s">
        <v>729</v>
      </c>
      <c r="F91" s="134"/>
      <c r="G91" s="58" t="s">
        <v>556</v>
      </c>
      <c r="H91" s="58" t="s">
        <v>557</v>
      </c>
      <c r="I91" s="58" t="s">
        <v>558</v>
      </c>
      <c r="J91" s="63"/>
      <c r="K91" s="64"/>
      <c r="L91" s="65">
        <v>105</v>
      </c>
      <c r="M91" s="58" t="s">
        <v>554</v>
      </c>
      <c r="N91" s="138" t="s">
        <v>555</v>
      </c>
      <c r="O91" s="58" t="s">
        <v>559</v>
      </c>
      <c r="P91" s="58" t="s">
        <v>560</v>
      </c>
      <c r="Q91" s="58" t="s">
        <v>561</v>
      </c>
      <c r="R91" s="58" t="s">
        <v>562</v>
      </c>
      <c r="S91" s="58" t="s">
        <v>330</v>
      </c>
      <c r="T91" s="63"/>
    </row>
    <row r="92" spans="1:20" s="66" customFormat="1" ht="204.75" x14ac:dyDescent="0.25">
      <c r="A92" s="65">
        <v>109</v>
      </c>
      <c r="B92" s="58" t="s">
        <v>563</v>
      </c>
      <c r="C92" s="141" t="s">
        <v>564</v>
      </c>
      <c r="D92" s="212">
        <v>2</v>
      </c>
      <c r="E92" s="135" t="s">
        <v>730</v>
      </c>
      <c r="F92" s="134"/>
      <c r="G92" s="58" t="s">
        <v>565</v>
      </c>
      <c r="H92" s="58" t="s">
        <v>566</v>
      </c>
      <c r="I92" s="58" t="s">
        <v>567</v>
      </c>
      <c r="J92" s="63"/>
      <c r="K92" s="64"/>
      <c r="L92" s="65">
        <v>109</v>
      </c>
      <c r="M92" s="58" t="s">
        <v>563</v>
      </c>
      <c r="N92" s="138" t="s">
        <v>564</v>
      </c>
      <c r="O92" s="58" t="s">
        <v>568</v>
      </c>
      <c r="P92" s="58" t="s">
        <v>569</v>
      </c>
      <c r="Q92" s="58" t="s">
        <v>570</v>
      </c>
      <c r="R92" s="58" t="s">
        <v>571</v>
      </c>
      <c r="S92" s="58" t="s">
        <v>330</v>
      </c>
      <c r="T92" s="63"/>
    </row>
    <row r="93" spans="1:20" s="66" customFormat="1" ht="219" customHeight="1" x14ac:dyDescent="0.25">
      <c r="A93" s="65">
        <v>113</v>
      </c>
      <c r="B93" s="58" t="s">
        <v>572</v>
      </c>
      <c r="C93" s="141" t="s">
        <v>573</v>
      </c>
      <c r="D93" s="212">
        <v>2</v>
      </c>
      <c r="E93" s="135" t="s">
        <v>731</v>
      </c>
      <c r="F93" s="134"/>
      <c r="G93" s="58" t="s">
        <v>574</v>
      </c>
      <c r="H93" s="58" t="s">
        <v>575</v>
      </c>
      <c r="I93" s="58" t="s">
        <v>576</v>
      </c>
      <c r="J93" s="63"/>
      <c r="K93" s="64"/>
      <c r="L93" s="65">
        <v>113</v>
      </c>
      <c r="M93" s="58" t="s">
        <v>572</v>
      </c>
      <c r="N93" s="138" t="s">
        <v>573</v>
      </c>
      <c r="O93" s="58" t="s">
        <v>577</v>
      </c>
      <c r="P93" s="58" t="s">
        <v>578</v>
      </c>
      <c r="Q93" s="58" t="s">
        <v>579</v>
      </c>
      <c r="R93" s="58" t="s">
        <v>580</v>
      </c>
      <c r="S93" s="58" t="s">
        <v>330</v>
      </c>
      <c r="T93" s="63"/>
    </row>
    <row r="94" spans="1:20" s="66" customFormat="1" ht="266.25" customHeight="1" x14ac:dyDescent="0.25">
      <c r="A94" s="65">
        <v>115</v>
      </c>
      <c r="B94" s="58" t="s">
        <v>572</v>
      </c>
      <c r="C94" s="141" t="s">
        <v>581</v>
      </c>
      <c r="D94" s="212">
        <v>2</v>
      </c>
      <c r="E94" s="135" t="s">
        <v>732</v>
      </c>
      <c r="F94" s="134"/>
      <c r="G94" s="58" t="s">
        <v>582</v>
      </c>
      <c r="H94" s="58" t="s">
        <v>583</v>
      </c>
      <c r="I94" s="58" t="s">
        <v>584</v>
      </c>
      <c r="J94" s="63"/>
      <c r="K94" s="64"/>
      <c r="L94" s="65">
        <v>115</v>
      </c>
      <c r="M94" s="58" t="s">
        <v>572</v>
      </c>
      <c r="N94" s="138" t="s">
        <v>581</v>
      </c>
      <c r="O94" s="58" t="s">
        <v>585</v>
      </c>
      <c r="P94" s="58" t="s">
        <v>586</v>
      </c>
      <c r="Q94" s="58" t="s">
        <v>587</v>
      </c>
      <c r="R94" s="58" t="s">
        <v>588</v>
      </c>
      <c r="S94" s="58" t="s">
        <v>330</v>
      </c>
      <c r="T94" s="63"/>
    </row>
    <row r="95" spans="1:20" x14ac:dyDescent="0.2">
      <c r="A95" s="26"/>
      <c r="B95" s="10"/>
      <c r="C95" s="142"/>
      <c r="D95" s="10"/>
      <c r="E95" s="10"/>
      <c r="F95" s="10"/>
      <c r="G95" s="10"/>
      <c r="H95" s="10"/>
      <c r="I95" s="10"/>
      <c r="J95" s="11"/>
      <c r="K95" s="43"/>
      <c r="L95" s="26"/>
      <c r="M95" s="10"/>
      <c r="N95" s="140"/>
      <c r="O95" s="10"/>
      <c r="P95" s="10"/>
      <c r="Q95" s="10"/>
      <c r="R95" s="10"/>
      <c r="S95" s="10"/>
      <c r="T95" s="11"/>
    </row>
  </sheetData>
  <sheetProtection formatRows="0" insertRows="0"/>
  <mergeCells count="49">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A6:F6"/>
    <mergeCell ref="H49:I49"/>
    <mergeCell ref="H50:I50"/>
    <mergeCell ref="H51:I51"/>
    <mergeCell ref="H62:I62"/>
    <mergeCell ref="H14:I14"/>
    <mergeCell ref="H15:I15"/>
    <mergeCell ref="H16:I16"/>
    <mergeCell ref="H26:I26"/>
    <mergeCell ref="H38:I38"/>
    <mergeCell ref="H39:I39"/>
    <mergeCell ref="H40:I40"/>
    <mergeCell ref="H61:I61"/>
    <mergeCell ref="H85:I85"/>
    <mergeCell ref="H86:I86"/>
    <mergeCell ref="H87:I87"/>
    <mergeCell ref="H63:I63"/>
    <mergeCell ref="H74:I74"/>
    <mergeCell ref="H75:I75"/>
    <mergeCell ref="H73:I73"/>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election activeCell="A16" sqref="A16"/>
    </sheetView>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180"/>
      <c r="B1" s="181"/>
      <c r="C1" s="182"/>
      <c r="D1" s="183"/>
    </row>
    <row r="2" spans="1:4" ht="15.75" x14ac:dyDescent="0.25">
      <c r="A2" s="173"/>
      <c r="B2" s="149" t="s">
        <v>4</v>
      </c>
      <c r="C2" s="168"/>
      <c r="D2" s="174"/>
    </row>
    <row r="3" spans="1:4" x14ac:dyDescent="0.2">
      <c r="A3" s="173"/>
      <c r="B3" s="150" t="s">
        <v>5</v>
      </c>
      <c r="C3" s="168"/>
      <c r="D3" s="174"/>
    </row>
    <row r="4" spans="1:4" x14ac:dyDescent="0.2">
      <c r="A4" s="173"/>
      <c r="B4" s="151"/>
      <c r="C4" s="152"/>
      <c r="D4" s="174"/>
    </row>
    <row r="5" spans="1:4" x14ac:dyDescent="0.2">
      <c r="A5" s="153"/>
      <c r="B5" s="154" t="s">
        <v>6</v>
      </c>
      <c r="C5" s="154" t="s">
        <v>7</v>
      </c>
      <c r="D5" s="155"/>
    </row>
    <row r="6" spans="1:4" x14ac:dyDescent="0.2">
      <c r="A6" s="153"/>
      <c r="B6" s="156" t="s">
        <v>8</v>
      </c>
      <c r="C6" s="157" t="s">
        <v>9</v>
      </c>
      <c r="D6" s="155"/>
    </row>
    <row r="7" spans="1:4" x14ac:dyDescent="0.2">
      <c r="A7" s="153"/>
      <c r="B7" s="156" t="s">
        <v>10</v>
      </c>
      <c r="C7" s="157" t="s">
        <v>11</v>
      </c>
      <c r="D7" s="155"/>
    </row>
    <row r="8" spans="1:4" x14ac:dyDescent="0.2">
      <c r="A8" s="153"/>
      <c r="B8" s="156" t="s">
        <v>12</v>
      </c>
      <c r="C8" s="157" t="s">
        <v>13</v>
      </c>
      <c r="D8" s="155"/>
    </row>
    <row r="9" spans="1:4" x14ac:dyDescent="0.2">
      <c r="A9" s="153"/>
      <c r="B9" s="156" t="s">
        <v>14</v>
      </c>
      <c r="C9" s="157" t="s">
        <v>15</v>
      </c>
      <c r="D9" s="155"/>
    </row>
    <row r="10" spans="1:4" x14ac:dyDescent="0.2">
      <c r="A10" s="153"/>
      <c r="B10" s="156" t="s">
        <v>16</v>
      </c>
      <c r="C10" s="157" t="s">
        <v>17</v>
      </c>
      <c r="D10" s="155"/>
    </row>
    <row r="11" spans="1:4" x14ac:dyDescent="0.2">
      <c r="A11" s="153"/>
      <c r="B11" s="156" t="s">
        <v>18</v>
      </c>
      <c r="C11" s="157" t="s">
        <v>19</v>
      </c>
      <c r="D11" s="155"/>
    </row>
    <row r="12" spans="1:4" x14ac:dyDescent="0.2">
      <c r="A12" s="153"/>
      <c r="B12" s="156" t="s">
        <v>20</v>
      </c>
      <c r="C12" s="157" t="s">
        <v>21</v>
      </c>
      <c r="D12" s="155"/>
    </row>
    <row r="13" spans="1:4" x14ac:dyDescent="0.2">
      <c r="A13" s="153"/>
      <c r="B13" s="151"/>
      <c r="C13" s="151"/>
      <c r="D13" s="155"/>
    </row>
    <row r="14" spans="1:4" x14ac:dyDescent="0.2">
      <c r="A14" s="153"/>
      <c r="B14" s="151"/>
      <c r="C14" s="151"/>
      <c r="D14" s="155"/>
    </row>
    <row r="15" spans="1:4" x14ac:dyDescent="0.2">
      <c r="A15" s="153"/>
      <c r="B15" s="151"/>
      <c r="C15" s="151"/>
      <c r="D15" s="155"/>
    </row>
    <row r="16" spans="1:4" x14ac:dyDescent="0.2">
      <c r="A16" s="158"/>
      <c r="B16" s="159"/>
      <c r="C16" s="159"/>
      <c r="D16" s="160"/>
    </row>
  </sheetData>
  <sheetProtection sheet="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E781-06D6-4EC7-9B73-F9D55431635A}">
  <sheetPr>
    <tabColor indexed="10"/>
    <pageSetUpPr fitToPage="1"/>
  </sheetPr>
  <dimension ref="A1:C28"/>
  <sheetViews>
    <sheetView showGridLines="0" view="pageBreakPreview" zoomScaleNormal="100" zoomScaleSheetLayoutView="100" workbookViewId="0">
      <selection activeCell="B3" sqref="B3"/>
    </sheetView>
  </sheetViews>
  <sheetFormatPr defaultRowHeight="15" x14ac:dyDescent="0.2"/>
  <cols>
    <col min="1" max="1" width="9.140625" style="1"/>
    <col min="2" max="2" width="110.85546875" style="1" customWidth="1"/>
    <col min="3" max="3" width="9.140625" style="1" customWidth="1"/>
    <col min="4" max="16384" width="9.140625" style="1"/>
  </cols>
  <sheetData>
    <row r="1" spans="1:3" x14ac:dyDescent="0.2">
      <c r="A1" s="189"/>
      <c r="B1" s="213"/>
      <c r="C1" s="214"/>
    </row>
    <row r="2" spans="1:3" ht="15.75" x14ac:dyDescent="0.25">
      <c r="A2" s="190"/>
      <c r="B2" s="191" t="s">
        <v>22</v>
      </c>
      <c r="C2" s="192"/>
    </row>
    <row r="3" spans="1:3" ht="28.5" customHeight="1" x14ac:dyDescent="0.2">
      <c r="A3" s="190"/>
      <c r="B3" s="193" t="s">
        <v>603</v>
      </c>
      <c r="C3" s="192"/>
    </row>
    <row r="4" spans="1:3" ht="54.75" customHeight="1" x14ac:dyDescent="0.2">
      <c r="A4" s="190"/>
      <c r="B4" s="186" t="s">
        <v>595</v>
      </c>
      <c r="C4" s="192"/>
    </row>
    <row r="5" spans="1:3" x14ac:dyDescent="0.2">
      <c r="A5" s="190"/>
      <c r="C5" s="192"/>
    </row>
    <row r="6" spans="1:3" ht="15.75" x14ac:dyDescent="0.2">
      <c r="A6" s="190"/>
      <c r="B6" s="194" t="s">
        <v>23</v>
      </c>
      <c r="C6" s="192"/>
    </row>
    <row r="7" spans="1:3" ht="38.25" x14ac:dyDescent="0.2">
      <c r="A7" s="190"/>
      <c r="B7" s="195" t="s">
        <v>24</v>
      </c>
      <c r="C7" s="192"/>
    </row>
    <row r="8" spans="1:3" ht="63.75" x14ac:dyDescent="0.2">
      <c r="A8" s="190"/>
      <c r="B8" s="195" t="s">
        <v>25</v>
      </c>
      <c r="C8" s="192"/>
    </row>
    <row r="9" spans="1:3" x14ac:dyDescent="0.2">
      <c r="A9" s="190"/>
      <c r="B9" s="196"/>
      <c r="C9" s="192"/>
    </row>
    <row r="10" spans="1:3" ht="15.75" x14ac:dyDescent="0.25">
      <c r="A10" s="190"/>
      <c r="B10" s="197" t="s">
        <v>26</v>
      </c>
      <c r="C10" s="192"/>
    </row>
    <row r="11" spans="1:3" ht="25.5" x14ac:dyDescent="0.2">
      <c r="A11" s="190"/>
      <c r="B11" s="195" t="s">
        <v>27</v>
      </c>
      <c r="C11" s="192"/>
    </row>
    <row r="12" spans="1:3" ht="25.5" x14ac:dyDescent="0.2">
      <c r="A12" s="190"/>
      <c r="B12" s="195" t="s">
        <v>28</v>
      </c>
      <c r="C12" s="192"/>
    </row>
    <row r="13" spans="1:3" x14ac:dyDescent="0.2">
      <c r="A13" s="190"/>
      <c r="B13" s="195"/>
      <c r="C13" s="192"/>
    </row>
    <row r="14" spans="1:3" ht="15.75" x14ac:dyDescent="0.2">
      <c r="A14" s="190"/>
      <c r="B14" s="194" t="s">
        <v>29</v>
      </c>
      <c r="C14" s="192"/>
    </row>
    <row r="15" spans="1:3" ht="38.25" x14ac:dyDescent="0.2">
      <c r="A15" s="190"/>
      <c r="B15" s="195" t="s">
        <v>30</v>
      </c>
      <c r="C15" s="192"/>
    </row>
    <row r="16" spans="1:3" x14ac:dyDescent="0.2">
      <c r="A16" s="190"/>
      <c r="B16" s="195"/>
      <c r="C16" s="192"/>
    </row>
    <row r="17" spans="1:3" ht="15.75" x14ac:dyDescent="0.2">
      <c r="A17" s="190"/>
      <c r="B17" s="194" t="s">
        <v>31</v>
      </c>
      <c r="C17" s="192"/>
    </row>
    <row r="18" spans="1:3" ht="15.75" customHeight="1" x14ac:dyDescent="0.2">
      <c r="A18" s="190"/>
      <c r="B18" s="195" t="s">
        <v>32</v>
      </c>
      <c r="C18" s="192"/>
    </row>
    <row r="19" spans="1:3" x14ac:dyDescent="0.2">
      <c r="A19" s="190"/>
      <c r="B19" s="195"/>
      <c r="C19" s="192"/>
    </row>
    <row r="20" spans="1:3" ht="15.75" x14ac:dyDescent="0.2">
      <c r="A20" s="190"/>
      <c r="B20" s="194" t="s">
        <v>33</v>
      </c>
      <c r="C20" s="192"/>
    </row>
    <row r="21" spans="1:3" ht="25.5" x14ac:dyDescent="0.2">
      <c r="A21" s="190"/>
      <c r="B21" s="195" t="s">
        <v>596</v>
      </c>
      <c r="C21" s="192"/>
    </row>
    <row r="22" spans="1:3" s="2" customFormat="1" ht="51" x14ac:dyDescent="0.2">
      <c r="A22" s="198"/>
      <c r="B22" s="199" t="s">
        <v>34</v>
      </c>
      <c r="C22" s="200"/>
    </row>
    <row r="23" spans="1:3" s="2" customFormat="1" x14ac:dyDescent="0.2">
      <c r="A23" s="198"/>
      <c r="B23" s="199"/>
      <c r="C23" s="200"/>
    </row>
    <row r="24" spans="1:3" ht="15.75" x14ac:dyDescent="0.2">
      <c r="A24" s="190"/>
      <c r="B24" s="201" t="s">
        <v>35</v>
      </c>
      <c r="C24" s="192"/>
    </row>
    <row r="25" spans="1:3" ht="38.25" x14ac:dyDescent="0.2">
      <c r="A25" s="190"/>
      <c r="B25" s="195" t="s">
        <v>36</v>
      </c>
      <c r="C25" s="192"/>
    </row>
    <row r="26" spans="1:3" x14ac:dyDescent="0.2">
      <c r="A26" s="190"/>
      <c r="B26" s="195"/>
      <c r="C26" s="192"/>
    </row>
    <row r="27" spans="1:3" ht="15.75" x14ac:dyDescent="0.2">
      <c r="A27" s="190"/>
      <c r="B27" s="201" t="s">
        <v>590</v>
      </c>
      <c r="C27" s="192"/>
    </row>
    <row r="28" spans="1:3" s="2" customFormat="1" ht="25.5" x14ac:dyDescent="0.2">
      <c r="A28" s="202"/>
      <c r="B28" s="199" t="s">
        <v>591</v>
      </c>
      <c r="C28" s="203"/>
    </row>
  </sheetData>
  <sheetProtection formatRows="0" insertRows="0"/>
  <mergeCells count="1">
    <mergeCell ref="B1:C1"/>
  </mergeCells>
  <pageMargins left="0.70866141732283472" right="0.70866141732283472" top="0.74803149606299213" bottom="0.74803149606299213" header="0.31496062992125989" footer="0.31496062992125989"/>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5"/>
  <sheetViews>
    <sheetView showGridLines="0" tabSelected="1" view="pageBreakPreview" zoomScale="85" zoomScaleNormal="60" zoomScaleSheetLayoutView="85" workbookViewId="0"/>
  </sheetViews>
  <sheetFormatPr defaultRowHeight="12.75" x14ac:dyDescent="0.2"/>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2">
      <c r="A1" s="17"/>
      <c r="B1" s="18"/>
      <c r="C1" s="18"/>
      <c r="D1" s="18"/>
      <c r="E1" s="18"/>
      <c r="F1" s="18"/>
      <c r="G1" s="18"/>
      <c r="H1" s="18"/>
      <c r="I1" s="18"/>
      <c r="J1" s="18"/>
      <c r="K1" s="18"/>
      <c r="L1" s="18"/>
      <c r="M1" s="18"/>
      <c r="N1" s="18"/>
      <c r="O1" s="18"/>
      <c r="P1" s="18"/>
      <c r="Q1" s="18"/>
      <c r="R1" s="18"/>
      <c r="S1" s="19"/>
      <c r="T1" s="136"/>
    </row>
    <row r="2" spans="1:20" ht="18" customHeight="1" x14ac:dyDescent="0.3">
      <c r="A2" s="20"/>
      <c r="B2" s="37"/>
      <c r="C2" s="37"/>
      <c r="D2" s="37"/>
      <c r="E2" s="37"/>
      <c r="F2" s="37"/>
      <c r="G2" s="37"/>
      <c r="H2" s="37"/>
      <c r="I2" s="37"/>
      <c r="J2" s="37"/>
      <c r="K2" s="37"/>
      <c r="L2" s="37"/>
      <c r="M2" s="37"/>
      <c r="N2" s="15"/>
      <c r="O2" s="31" t="s">
        <v>1</v>
      </c>
      <c r="P2" s="215" t="str">
        <f>IF(NOT(ISBLANK(CoverSheet!$C$8)),CoverSheet!$C$8,"")</f>
        <v>Aurora Energy Limited</v>
      </c>
      <c r="Q2" s="215"/>
      <c r="R2" s="215"/>
      <c r="S2" s="12"/>
      <c r="T2" s="136"/>
    </row>
    <row r="3" spans="1:20" ht="18" customHeight="1" x14ac:dyDescent="0.3">
      <c r="A3" s="20"/>
      <c r="B3" s="37"/>
      <c r="C3" s="37"/>
      <c r="D3" s="37"/>
      <c r="E3" s="37"/>
      <c r="F3" s="37"/>
      <c r="G3" s="37"/>
      <c r="H3" s="37"/>
      <c r="I3" s="37"/>
      <c r="J3" s="37"/>
      <c r="K3" s="37"/>
      <c r="L3" s="37"/>
      <c r="M3" s="37"/>
      <c r="N3" s="15"/>
      <c r="O3" s="31" t="s">
        <v>37</v>
      </c>
      <c r="P3" s="216" t="str">
        <f>IF(ISNUMBER(CoverSheet!$C$12),TEXT(CoverSheet!$C$12,"_([$-1409]d mmmm yyyy;_(@")&amp;" –"&amp;TEXT(DATE(YEAR(CoverSheet!$C$12)+10,MONTH(CoverSheet!$C$12),DAY(CoverSheet!$C$12)-1),"_([$-1409]d mmmm yyyy;_(@"),"")</f>
        <v xml:space="preserve"> 1 April 2024 – 31 March 2034</v>
      </c>
      <c r="Q3" s="217"/>
      <c r="R3" s="218"/>
      <c r="S3" s="12"/>
      <c r="T3" s="136"/>
    </row>
    <row r="4" spans="1:20" ht="21" x14ac:dyDescent="0.35">
      <c r="A4" s="54" t="s">
        <v>38</v>
      </c>
      <c r="B4" s="40"/>
      <c r="C4" s="37"/>
      <c r="D4" s="37"/>
      <c r="E4" s="37"/>
      <c r="F4" s="37"/>
      <c r="G4" s="37"/>
      <c r="H4" s="37"/>
      <c r="I4" s="37"/>
      <c r="J4" s="37"/>
      <c r="K4" s="37"/>
      <c r="L4" s="37"/>
      <c r="M4" s="37"/>
      <c r="N4" s="37"/>
      <c r="O4" s="38"/>
      <c r="P4" s="37"/>
      <c r="Q4" s="37"/>
      <c r="R4" s="37"/>
      <c r="S4" s="12"/>
      <c r="T4" s="136"/>
    </row>
    <row r="5" spans="1:20" s="3" customFormat="1" ht="90.75" customHeight="1" x14ac:dyDescent="0.2">
      <c r="A5" s="222" t="s">
        <v>597</v>
      </c>
      <c r="B5" s="223"/>
      <c r="C5" s="223"/>
      <c r="D5" s="223"/>
      <c r="E5" s="223"/>
      <c r="F5" s="223"/>
      <c r="G5" s="223"/>
      <c r="H5" s="223"/>
      <c r="I5" s="223"/>
      <c r="J5" s="223"/>
      <c r="K5" s="223"/>
      <c r="L5" s="223"/>
      <c r="M5" s="223"/>
      <c r="N5" s="223"/>
      <c r="O5" s="223"/>
      <c r="P5" s="223"/>
      <c r="Q5" s="223"/>
      <c r="R5" s="223"/>
      <c r="S5" s="32"/>
      <c r="T5" s="136"/>
    </row>
    <row r="6" spans="1:20" ht="15" customHeight="1" x14ac:dyDescent="0.2">
      <c r="A6" s="25" t="s">
        <v>39</v>
      </c>
      <c r="B6" s="38"/>
      <c r="C6" s="38"/>
      <c r="D6" s="37"/>
      <c r="E6" s="37"/>
      <c r="F6" s="37"/>
      <c r="G6" s="37"/>
      <c r="H6" s="37"/>
      <c r="I6" s="37"/>
      <c r="J6" s="37"/>
      <c r="K6" s="37"/>
      <c r="L6" s="37"/>
      <c r="M6" s="37"/>
      <c r="N6" s="37"/>
      <c r="O6" s="37"/>
      <c r="P6" s="37"/>
      <c r="Q6" s="37"/>
      <c r="R6" s="37"/>
      <c r="S6" s="12"/>
      <c r="T6" s="136"/>
    </row>
    <row r="7" spans="1:20" ht="32.25" customHeight="1" x14ac:dyDescent="0.2">
      <c r="A7" s="30">
        <v>7</v>
      </c>
      <c r="B7" s="33"/>
      <c r="C7" s="49"/>
      <c r="D7" s="49"/>
      <c r="E7" s="49"/>
      <c r="F7" s="49"/>
      <c r="G7" s="49"/>
      <c r="H7" s="21" t="s">
        <v>40</v>
      </c>
      <c r="I7" s="21" t="s">
        <v>41</v>
      </c>
      <c r="J7" s="21" t="s">
        <v>42</v>
      </c>
      <c r="K7" s="21" t="s">
        <v>43</v>
      </c>
      <c r="L7" s="21" t="s">
        <v>44</v>
      </c>
      <c r="M7" s="21" t="s">
        <v>45</v>
      </c>
      <c r="N7" s="21" t="s">
        <v>46</v>
      </c>
      <c r="O7" s="21" t="s">
        <v>47</v>
      </c>
      <c r="P7" s="21" t="s">
        <v>48</v>
      </c>
      <c r="Q7" s="21" t="s">
        <v>49</v>
      </c>
      <c r="R7" s="21" t="s">
        <v>50</v>
      </c>
      <c r="S7" s="7"/>
      <c r="T7" s="136"/>
    </row>
    <row r="8" spans="1:20" ht="18.75" customHeight="1" x14ac:dyDescent="0.2">
      <c r="A8" s="30">
        <v>8</v>
      </c>
      <c r="B8" s="33"/>
      <c r="C8" s="93"/>
      <c r="D8" s="49"/>
      <c r="E8" s="49"/>
      <c r="F8" s="49"/>
      <c r="G8" s="143" t="str">
        <f>IF(ISNUMBER(#REF!),"for year ended","")</f>
        <v/>
      </c>
      <c r="H8" s="94" t="str">
        <f>IF(ISNUMBER(#REF!),DATE(YEAR(#REF!),MONTH(#REF!),DAY(#REF!))-1,"")</f>
        <v/>
      </c>
      <c r="I8" s="94" t="str">
        <f>IF(ISNUMBER(#REF!),DATE(YEAR(#REF!)+1,MONTH(#REF!),DAY(#REF!))-1,"")</f>
        <v/>
      </c>
      <c r="J8" s="94" t="str">
        <f>IF(ISNUMBER(#REF!),DATE(YEAR(#REF!)+2,MONTH(#REF!),DAY(#REF!))-1,"")</f>
        <v/>
      </c>
      <c r="K8" s="94" t="str">
        <f>IF(ISNUMBER(#REF!),DATE(YEAR(#REF!)+3,MONTH(#REF!),DAY(#REF!))-1,"")</f>
        <v/>
      </c>
      <c r="L8" s="94" t="str">
        <f>IF(ISNUMBER(#REF!),DATE(YEAR(#REF!)+4,MONTH(#REF!),DAY(#REF!))-1,"")</f>
        <v/>
      </c>
      <c r="M8" s="94" t="str">
        <f>IF(ISNUMBER(#REF!),DATE(YEAR(#REF!)+5,MONTH(#REF!),DAY(#REF!))-1,"")</f>
        <v/>
      </c>
      <c r="N8" s="94" t="str">
        <f>IF(ISNUMBER(#REF!),DATE(YEAR(#REF!)+6,MONTH(#REF!),DAY(#REF!))-1,"")</f>
        <v/>
      </c>
      <c r="O8" s="94" t="str">
        <f>IF(ISNUMBER(#REF!),DATE(YEAR(#REF!)+7,MONTH(#REF!),DAY(#REF!))-1,"")</f>
        <v/>
      </c>
      <c r="P8" s="94" t="str">
        <f>IF(ISNUMBER(#REF!),DATE(YEAR(#REF!)+8,MONTH(#REF!),DAY(#REF!))-1,"")</f>
        <v/>
      </c>
      <c r="Q8" s="94" t="str">
        <f>IF(ISNUMBER(#REF!),DATE(YEAR(#REF!)+9,MONTH(#REF!),DAY(#REF!))-1,"")</f>
        <v/>
      </c>
      <c r="R8" s="94" t="str">
        <f>IF(ISNUMBER(#REF!),DATE(YEAR(#REF!)+10,MONTH(#REF!),DAY(#REF!))-1,"")</f>
        <v/>
      </c>
      <c r="S8" s="7"/>
      <c r="T8" s="136"/>
    </row>
    <row r="9" spans="1:20" ht="26.25" customHeight="1" x14ac:dyDescent="0.3">
      <c r="A9" s="30">
        <v>9</v>
      </c>
      <c r="B9" s="33"/>
      <c r="C9" s="71" t="s">
        <v>51</v>
      </c>
      <c r="D9" s="49"/>
      <c r="E9" s="49"/>
      <c r="F9" s="49"/>
      <c r="G9" s="143"/>
      <c r="H9" s="95" t="s">
        <v>52</v>
      </c>
      <c r="I9" s="94"/>
      <c r="J9" s="94"/>
      <c r="K9" s="94"/>
      <c r="L9" s="94"/>
      <c r="M9" s="94"/>
      <c r="N9" s="94"/>
      <c r="O9" s="94"/>
      <c r="P9" s="94"/>
      <c r="Q9" s="94"/>
      <c r="R9" s="96"/>
      <c r="S9" s="7"/>
      <c r="T9" s="136"/>
    </row>
    <row r="10" spans="1:20" ht="15" customHeight="1" x14ac:dyDescent="0.2">
      <c r="A10" s="30">
        <v>10</v>
      </c>
      <c r="B10" s="33"/>
      <c r="C10" s="52"/>
      <c r="D10" s="52"/>
      <c r="E10" s="50"/>
      <c r="F10" s="52" t="s">
        <v>53</v>
      </c>
      <c r="G10" s="50"/>
      <c r="H10" s="120">
        <v>13670</v>
      </c>
      <c r="I10" s="120">
        <v>20717.457648875472</v>
      </c>
      <c r="J10" s="120">
        <v>21188.360117099142</v>
      </c>
      <c r="K10" s="120">
        <v>21659.262363772719</v>
      </c>
      <c r="L10" s="120">
        <v>22130.164721221343</v>
      </c>
      <c r="M10" s="120">
        <v>22601.067078669999</v>
      </c>
      <c r="N10" s="120">
        <v>23071.96943611859</v>
      </c>
      <c r="O10" s="120">
        <v>23542.87179356721</v>
      </c>
      <c r="P10" s="120">
        <v>24013.774151015838</v>
      </c>
      <c r="Q10" s="120">
        <v>24484.676508464454</v>
      </c>
      <c r="R10" s="120">
        <v>24955.578865913081</v>
      </c>
      <c r="S10" s="7"/>
      <c r="T10" s="136"/>
    </row>
    <row r="11" spans="1:20" s="4" customFormat="1" ht="15" customHeight="1" x14ac:dyDescent="0.2">
      <c r="A11" s="30">
        <v>11</v>
      </c>
      <c r="B11" s="33"/>
      <c r="C11" s="52"/>
      <c r="D11" s="52"/>
      <c r="E11" s="83"/>
      <c r="F11" s="52" t="s">
        <v>54</v>
      </c>
      <c r="G11" s="83"/>
      <c r="H11" s="120">
        <v>22039.649340000004</v>
      </c>
      <c r="I11" s="120">
        <v>11087.125884798124</v>
      </c>
      <c r="J11" s="120">
        <v>19726.067115558126</v>
      </c>
      <c r="K11" s="120">
        <v>27049.3867664803</v>
      </c>
      <c r="L11" s="120">
        <v>33090.335596051802</v>
      </c>
      <c r="M11" s="120">
        <v>28400.78120796688</v>
      </c>
      <c r="N11" s="120">
        <v>18693.694333008312</v>
      </c>
      <c r="O11" s="120">
        <v>26381.917813300766</v>
      </c>
      <c r="P11" s="120">
        <v>26566.838381494221</v>
      </c>
      <c r="Q11" s="120">
        <v>24774.060281807102</v>
      </c>
      <c r="R11" s="120">
        <v>28694.169664083922</v>
      </c>
      <c r="S11" s="7"/>
      <c r="T11" s="136"/>
    </row>
    <row r="12" spans="1:20" ht="15" customHeight="1" x14ac:dyDescent="0.2">
      <c r="A12" s="30">
        <v>12</v>
      </c>
      <c r="B12" s="33"/>
      <c r="C12" s="52"/>
      <c r="D12" s="52"/>
      <c r="E12" s="83"/>
      <c r="F12" s="52" t="s">
        <v>55</v>
      </c>
      <c r="G12" s="83"/>
      <c r="H12" s="120">
        <v>53285.875</v>
      </c>
      <c r="I12" s="120">
        <v>58107.135093606739</v>
      </c>
      <c r="J12" s="120">
        <v>42926.135682331893</v>
      </c>
      <c r="K12" s="120">
        <v>49249.290819209244</v>
      </c>
      <c r="L12" s="120">
        <v>56365.40141588245</v>
      </c>
      <c r="M12" s="120">
        <v>59284.579029744149</v>
      </c>
      <c r="N12" s="120">
        <v>63139.283286067475</v>
      </c>
      <c r="O12" s="120">
        <v>59226.118592783911</v>
      </c>
      <c r="P12" s="120">
        <v>56709.992519297717</v>
      </c>
      <c r="Q12" s="120">
        <v>51959.943666632185</v>
      </c>
      <c r="R12" s="120">
        <v>52167.891400409317</v>
      </c>
      <c r="S12" s="7"/>
      <c r="T12" s="136"/>
    </row>
    <row r="13" spans="1:20" ht="15" customHeight="1" x14ac:dyDescent="0.2">
      <c r="A13" s="30">
        <v>13</v>
      </c>
      <c r="B13" s="33"/>
      <c r="C13" s="52"/>
      <c r="D13" s="52"/>
      <c r="E13" s="83"/>
      <c r="F13" s="52" t="s">
        <v>56</v>
      </c>
      <c r="G13" s="83"/>
      <c r="H13" s="120">
        <v>4484</v>
      </c>
      <c r="I13" s="120">
        <v>2218.3526546834664</v>
      </c>
      <c r="J13" s="120">
        <v>2268.7752264317696</v>
      </c>
      <c r="K13" s="120">
        <v>2319.1977981800728</v>
      </c>
      <c r="L13" s="120">
        <v>2369.6203699283765</v>
      </c>
      <c r="M13" s="120">
        <v>2420.0429416766792</v>
      </c>
      <c r="N13" s="120">
        <v>2470.4655134249829</v>
      </c>
      <c r="O13" s="120">
        <v>2520.8880851732856</v>
      </c>
      <c r="P13" s="120">
        <v>2571.3106569215888</v>
      </c>
      <c r="Q13" s="120">
        <v>2621.733228669892</v>
      </c>
      <c r="R13" s="120">
        <v>2672.1558004181952</v>
      </c>
      <c r="S13" s="7"/>
      <c r="T13" s="136"/>
    </row>
    <row r="14" spans="1:20" s="3" customFormat="1" ht="15" customHeight="1" x14ac:dyDescent="0.2">
      <c r="A14" s="30">
        <v>14</v>
      </c>
      <c r="B14" s="33"/>
      <c r="C14" s="52"/>
      <c r="D14" s="52"/>
      <c r="E14" s="83"/>
      <c r="F14" s="52" t="s">
        <v>57</v>
      </c>
      <c r="G14" s="83"/>
      <c r="H14" s="50"/>
      <c r="I14" s="50"/>
      <c r="J14" s="49"/>
      <c r="K14" s="49"/>
      <c r="L14" s="49"/>
      <c r="M14" s="50"/>
      <c r="N14" s="49"/>
      <c r="O14" s="50"/>
      <c r="P14" s="50"/>
      <c r="Q14" s="49"/>
      <c r="R14" s="49"/>
      <c r="S14" s="7"/>
      <c r="T14" s="136"/>
    </row>
    <row r="15" spans="1:20" ht="15" customHeight="1" x14ac:dyDescent="0.2">
      <c r="A15" s="30">
        <v>15</v>
      </c>
      <c r="B15" s="33"/>
      <c r="C15" s="52"/>
      <c r="D15" s="52"/>
      <c r="E15" s="83"/>
      <c r="F15" s="118" t="s">
        <v>58</v>
      </c>
      <c r="G15" s="83"/>
      <c r="H15" s="120">
        <v>1681.68</v>
      </c>
      <c r="I15" s="120">
        <v>542.47878834478502</v>
      </c>
      <c r="J15" s="120">
        <v>645.26223445104165</v>
      </c>
      <c r="K15" s="120">
        <v>2197.8206451214742</v>
      </c>
      <c r="L15" s="120">
        <v>3468.2039374915125</v>
      </c>
      <c r="M15" s="120">
        <v>4904.1284831513885</v>
      </c>
      <c r="N15" s="120">
        <v>6049.187418196082</v>
      </c>
      <c r="O15" s="120">
        <v>5581.4495942840913</v>
      </c>
      <c r="P15" s="120">
        <v>5090.0614083888422</v>
      </c>
      <c r="Q15" s="120">
        <v>4575.0228605103375</v>
      </c>
      <c r="R15" s="120">
        <v>4663.0121402400855</v>
      </c>
      <c r="S15" s="7"/>
      <c r="T15" s="136"/>
    </row>
    <row r="16" spans="1:20" ht="15" customHeight="1" x14ac:dyDescent="0.2">
      <c r="A16" s="30">
        <v>16</v>
      </c>
      <c r="B16" s="33"/>
      <c r="C16" s="52"/>
      <c r="D16" s="52"/>
      <c r="E16" s="83"/>
      <c r="F16" s="118" t="s">
        <v>59</v>
      </c>
      <c r="G16" s="83"/>
      <c r="H16" s="120"/>
      <c r="I16" s="120"/>
      <c r="J16" s="120"/>
      <c r="K16" s="120"/>
      <c r="L16" s="120"/>
      <c r="M16" s="120"/>
      <c r="N16" s="120"/>
      <c r="O16" s="120"/>
      <c r="P16" s="120"/>
      <c r="Q16" s="120"/>
      <c r="R16" s="120"/>
      <c r="S16" s="7"/>
      <c r="T16" s="136"/>
    </row>
    <row r="17" spans="1:20" ht="15" customHeight="1" thickBot="1" x14ac:dyDescent="0.25">
      <c r="A17" s="30">
        <v>17</v>
      </c>
      <c r="B17" s="33"/>
      <c r="C17" s="52"/>
      <c r="D17" s="52"/>
      <c r="E17" s="83"/>
      <c r="F17" s="118" t="s">
        <v>60</v>
      </c>
      <c r="G17" s="83"/>
      <c r="H17" s="120"/>
      <c r="I17" s="120"/>
      <c r="J17" s="120"/>
      <c r="K17" s="120"/>
      <c r="L17" s="120"/>
      <c r="M17" s="120"/>
      <c r="N17" s="120"/>
      <c r="O17" s="120"/>
      <c r="P17" s="120"/>
      <c r="Q17" s="120"/>
      <c r="R17" s="120"/>
      <c r="S17" s="7"/>
      <c r="T17" s="136"/>
    </row>
    <row r="18" spans="1:20" ht="15" customHeight="1" thickBot="1" x14ac:dyDescent="0.25">
      <c r="A18" s="30">
        <v>18</v>
      </c>
      <c r="B18" s="33"/>
      <c r="C18" s="52"/>
      <c r="D18" s="52"/>
      <c r="E18" s="45"/>
      <c r="F18" s="45" t="s">
        <v>61</v>
      </c>
      <c r="G18" s="83"/>
      <c r="H18" s="121">
        <f t="shared" ref="H18:R18" si="0">SUM(H15:H17)</f>
        <v>1681.68</v>
      </c>
      <c r="I18" s="121">
        <f t="shared" si="0"/>
        <v>542.47878834478502</v>
      </c>
      <c r="J18" s="121">
        <f t="shared" si="0"/>
        <v>645.26223445104165</v>
      </c>
      <c r="K18" s="121">
        <f t="shared" si="0"/>
        <v>2197.8206451214742</v>
      </c>
      <c r="L18" s="121">
        <f t="shared" si="0"/>
        <v>3468.2039374915125</v>
      </c>
      <c r="M18" s="121">
        <f t="shared" si="0"/>
        <v>4904.1284831513885</v>
      </c>
      <c r="N18" s="122">
        <f t="shared" si="0"/>
        <v>6049.187418196082</v>
      </c>
      <c r="O18" s="121">
        <f t="shared" si="0"/>
        <v>5581.4495942840913</v>
      </c>
      <c r="P18" s="121">
        <f t="shared" si="0"/>
        <v>5090.0614083888422</v>
      </c>
      <c r="Q18" s="121">
        <f t="shared" si="0"/>
        <v>4575.0228605103375</v>
      </c>
      <c r="R18" s="121">
        <f t="shared" si="0"/>
        <v>4663.0121402400855</v>
      </c>
      <c r="S18" s="7"/>
      <c r="T18" s="136"/>
    </row>
    <row r="19" spans="1:20" ht="15" customHeight="1" thickBot="1" x14ac:dyDescent="0.25">
      <c r="A19" s="30">
        <v>19</v>
      </c>
      <c r="B19" s="33"/>
      <c r="C19" s="52"/>
      <c r="D19" s="52"/>
      <c r="E19" s="45" t="s">
        <v>62</v>
      </c>
      <c r="F19" s="45"/>
      <c r="G19" s="83"/>
      <c r="H19" s="121">
        <f t="shared" ref="H19:R19" si="1">H10+H11+H12+H13+H18</f>
        <v>95161.204339999997</v>
      </c>
      <c r="I19" s="121">
        <f t="shared" si="1"/>
        <v>92672.550070308585</v>
      </c>
      <c r="J19" s="121">
        <f t="shared" si="1"/>
        <v>86754.600375871974</v>
      </c>
      <c r="K19" s="121">
        <f t="shared" si="1"/>
        <v>102474.95839276382</v>
      </c>
      <c r="L19" s="121">
        <f t="shared" si="1"/>
        <v>117423.72604057549</v>
      </c>
      <c r="M19" s="121">
        <f t="shared" si="1"/>
        <v>117610.59874120911</v>
      </c>
      <c r="N19" s="122">
        <f t="shared" si="1"/>
        <v>113424.59998681545</v>
      </c>
      <c r="O19" s="121">
        <f t="shared" si="1"/>
        <v>117253.24587910926</v>
      </c>
      <c r="P19" s="121">
        <f t="shared" si="1"/>
        <v>114951.97711711819</v>
      </c>
      <c r="Q19" s="121">
        <f t="shared" si="1"/>
        <v>108415.43654608396</v>
      </c>
      <c r="R19" s="121">
        <f t="shared" si="1"/>
        <v>113152.80787106461</v>
      </c>
      <c r="S19" s="7"/>
      <c r="T19" s="136"/>
    </row>
    <row r="20" spans="1:20" ht="15" customHeight="1" thickBot="1" x14ac:dyDescent="0.25">
      <c r="A20" s="30">
        <v>20</v>
      </c>
      <c r="B20" s="33"/>
      <c r="C20" s="52"/>
      <c r="D20" s="52"/>
      <c r="E20" s="78"/>
      <c r="F20" s="52" t="s">
        <v>63</v>
      </c>
      <c r="G20" s="83"/>
      <c r="H20" s="120">
        <v>5438.8040000000001</v>
      </c>
      <c r="I20" s="120">
        <v>5752.7115043018612</v>
      </c>
      <c r="J20" s="120">
        <v>3148.1341825899217</v>
      </c>
      <c r="K20" s="120">
        <v>5797.3919603808499</v>
      </c>
      <c r="L20" s="120">
        <v>3554.430554892564</v>
      </c>
      <c r="M20" s="120">
        <v>3782.9472748479889</v>
      </c>
      <c r="N20" s="120">
        <v>6472.7240368663843</v>
      </c>
      <c r="O20" s="120">
        <v>3600.2683754607738</v>
      </c>
      <c r="P20" s="120">
        <v>3683.3855306440969</v>
      </c>
      <c r="Q20" s="120">
        <v>4451.3772518613141</v>
      </c>
      <c r="R20" s="120">
        <v>5801.108520407377</v>
      </c>
      <c r="S20" s="7"/>
      <c r="T20" s="136"/>
    </row>
    <row r="21" spans="1:20" ht="15" customHeight="1" thickBot="1" x14ac:dyDescent="0.25">
      <c r="A21" s="30">
        <v>21</v>
      </c>
      <c r="B21" s="33"/>
      <c r="C21" s="52"/>
      <c r="D21" s="52"/>
      <c r="E21" s="78" t="s">
        <v>64</v>
      </c>
      <c r="F21" s="52"/>
      <c r="G21" s="49"/>
      <c r="H21" s="121">
        <f>H19+H20</f>
        <v>100600.00834</v>
      </c>
      <c r="I21" s="121">
        <f t="shared" ref="I21:R21" si="2">I19+I20</f>
        <v>98425.261574610442</v>
      </c>
      <c r="J21" s="121">
        <f t="shared" si="2"/>
        <v>89902.734558461903</v>
      </c>
      <c r="K21" s="121">
        <f t="shared" si="2"/>
        <v>108272.35035314466</v>
      </c>
      <c r="L21" s="121">
        <f t="shared" si="2"/>
        <v>120978.15659546806</v>
      </c>
      <c r="M21" s="121">
        <f t="shared" si="2"/>
        <v>121393.54601605709</v>
      </c>
      <c r="N21" s="122">
        <f>N19+N20</f>
        <v>119897.32402368184</v>
      </c>
      <c r="O21" s="121">
        <f>O19+O20</f>
        <v>120853.51425457004</v>
      </c>
      <c r="P21" s="121">
        <f t="shared" si="2"/>
        <v>118635.36264776229</v>
      </c>
      <c r="Q21" s="121">
        <f t="shared" si="2"/>
        <v>112866.81379794527</v>
      </c>
      <c r="R21" s="121">
        <f t="shared" si="2"/>
        <v>118953.91639147198</v>
      </c>
      <c r="S21" s="7"/>
      <c r="T21" s="136"/>
    </row>
    <row r="22" spans="1:20" ht="15" customHeight="1" x14ac:dyDescent="0.2">
      <c r="A22" s="30">
        <v>22</v>
      </c>
      <c r="B22" s="33"/>
      <c r="C22" s="52"/>
      <c r="D22" s="52"/>
      <c r="E22" s="78"/>
      <c r="F22" s="52"/>
      <c r="G22" s="49"/>
      <c r="H22" s="97"/>
      <c r="I22" s="97"/>
      <c r="J22" s="97"/>
      <c r="K22" s="97"/>
      <c r="L22" s="97"/>
      <c r="M22" s="97"/>
      <c r="N22" s="97"/>
      <c r="O22" s="97"/>
      <c r="P22" s="97"/>
      <c r="Q22" s="97"/>
      <c r="R22" s="97"/>
      <c r="S22" s="7"/>
      <c r="T22" s="136"/>
    </row>
    <row r="23" spans="1:20" ht="15" customHeight="1" x14ac:dyDescent="0.2">
      <c r="A23" s="30">
        <v>23</v>
      </c>
      <c r="B23" s="33"/>
      <c r="C23" s="52"/>
      <c r="D23" s="80" t="s">
        <v>65</v>
      </c>
      <c r="E23" s="78"/>
      <c r="F23" s="49" t="s">
        <v>66</v>
      </c>
      <c r="G23" s="49"/>
      <c r="H23" s="120">
        <v>537.44000000000005</v>
      </c>
      <c r="I23" s="120">
        <v>519.85</v>
      </c>
      <c r="J23" s="120">
        <v>469.07</v>
      </c>
      <c r="K23" s="120">
        <v>572.16</v>
      </c>
      <c r="L23" s="120">
        <v>647.72</v>
      </c>
      <c r="M23" s="120">
        <v>665.95</v>
      </c>
      <c r="N23" s="120">
        <v>637.07000000000005</v>
      </c>
      <c r="O23" s="120">
        <v>646.57000000000005</v>
      </c>
      <c r="P23" s="120">
        <v>631.24</v>
      </c>
      <c r="Q23" s="120">
        <v>594.25</v>
      </c>
      <c r="R23" s="120">
        <v>629.57000000000005</v>
      </c>
      <c r="S23" s="7"/>
      <c r="T23" s="136"/>
    </row>
    <row r="24" spans="1:20" s="3" customFormat="1" ht="15" customHeight="1" x14ac:dyDescent="0.2">
      <c r="A24" s="30">
        <v>24</v>
      </c>
      <c r="B24" s="33"/>
      <c r="C24" s="52"/>
      <c r="D24" s="80" t="s">
        <v>67</v>
      </c>
      <c r="E24" s="78"/>
      <c r="F24" s="52" t="s">
        <v>68</v>
      </c>
      <c r="G24" s="49"/>
      <c r="H24" s="120">
        <v>12532</v>
      </c>
      <c r="I24" s="120">
        <v>13039.585116554037</v>
      </c>
      <c r="J24" s="120">
        <v>13335.971452928208</v>
      </c>
      <c r="K24" s="120">
        <v>13632.357789302381</v>
      </c>
      <c r="L24" s="120">
        <v>13928.744125676554</v>
      </c>
      <c r="M24" s="120">
        <v>14225.130462050725</v>
      </c>
      <c r="N24" s="120">
        <v>14521.516798424898</v>
      </c>
      <c r="O24" s="120">
        <v>14817.903134799071</v>
      </c>
      <c r="P24" s="120">
        <v>15114.289471173242</v>
      </c>
      <c r="Q24" s="120">
        <v>15410.675807547415</v>
      </c>
      <c r="R24" s="120">
        <v>15707.062143921588</v>
      </c>
      <c r="S24" s="7"/>
      <c r="T24" s="136"/>
    </row>
    <row r="25" spans="1:20" s="3" customFormat="1" ht="15" customHeight="1" x14ac:dyDescent="0.2">
      <c r="A25" s="30">
        <v>25</v>
      </c>
      <c r="B25" s="33"/>
      <c r="C25" s="52"/>
      <c r="D25" s="80" t="s">
        <v>65</v>
      </c>
      <c r="E25" s="78"/>
      <c r="F25" s="52" t="s">
        <v>69</v>
      </c>
      <c r="G25" s="49"/>
      <c r="H25" s="120"/>
      <c r="I25" s="120"/>
      <c r="J25" s="120"/>
      <c r="K25" s="120"/>
      <c r="L25" s="120"/>
      <c r="M25" s="120"/>
      <c r="N25" s="120"/>
      <c r="O25" s="120"/>
      <c r="P25" s="120"/>
      <c r="Q25" s="120"/>
      <c r="R25" s="120"/>
      <c r="S25" s="7"/>
      <c r="T25" s="136"/>
    </row>
    <row r="26" spans="1:20" s="3" customFormat="1" ht="15" customHeight="1" thickBot="1" x14ac:dyDescent="0.25">
      <c r="A26" s="30">
        <v>26</v>
      </c>
      <c r="B26" s="33"/>
      <c r="C26" s="52"/>
      <c r="D26" s="52"/>
      <c r="E26" s="78"/>
      <c r="F26" s="49"/>
      <c r="G26" s="49"/>
      <c r="H26" s="49"/>
      <c r="I26" s="49"/>
      <c r="J26" s="49"/>
      <c r="K26" s="49"/>
      <c r="L26" s="49"/>
      <c r="M26" s="49"/>
      <c r="N26" s="49"/>
      <c r="O26" s="49"/>
      <c r="P26" s="49"/>
      <c r="Q26" s="49"/>
      <c r="R26" s="49"/>
      <c r="S26" s="7"/>
      <c r="T26" s="136"/>
    </row>
    <row r="27" spans="1:20" s="3" customFormat="1" ht="15" customHeight="1" thickBot="1" x14ac:dyDescent="0.25">
      <c r="A27" s="30">
        <v>27</v>
      </c>
      <c r="B27" s="33"/>
      <c r="C27" s="52"/>
      <c r="D27" s="52"/>
      <c r="E27" s="78" t="s">
        <v>70</v>
      </c>
      <c r="F27" s="49"/>
      <c r="G27" s="49"/>
      <c r="H27" s="121">
        <f>H21+H23-H24+H25</f>
        <v>88605.448340000003</v>
      </c>
      <c r="I27" s="121">
        <f t="shared" ref="I27:R27" si="3">I21+I23-I24+I25</f>
        <v>85905.526458056411</v>
      </c>
      <c r="J27" s="121">
        <f t="shared" si="3"/>
        <v>77035.833105533704</v>
      </c>
      <c r="K27" s="121">
        <f t="shared" si="3"/>
        <v>95212.15256384229</v>
      </c>
      <c r="L27" s="121">
        <f t="shared" si="3"/>
        <v>107697.1324697915</v>
      </c>
      <c r="M27" s="121">
        <f t="shared" si="3"/>
        <v>107834.36555400636</v>
      </c>
      <c r="N27" s="122">
        <f t="shared" si="3"/>
        <v>106012.87722525695</v>
      </c>
      <c r="O27" s="121">
        <f t="shared" si="3"/>
        <v>106682.18111977098</v>
      </c>
      <c r="P27" s="121">
        <f t="shared" si="3"/>
        <v>104152.31317658906</v>
      </c>
      <c r="Q27" s="121">
        <f t="shared" si="3"/>
        <v>98050.387990397852</v>
      </c>
      <c r="R27" s="121">
        <f t="shared" si="3"/>
        <v>103876.4242475504</v>
      </c>
      <c r="S27" s="7"/>
      <c r="T27" s="136"/>
    </row>
    <row r="28" spans="1:20" ht="15" customHeight="1" x14ac:dyDescent="0.2">
      <c r="A28" s="30">
        <v>28</v>
      </c>
      <c r="B28" s="33"/>
      <c r="C28" s="52"/>
      <c r="D28" s="52"/>
      <c r="E28" s="78"/>
      <c r="F28" s="49"/>
      <c r="G28" s="49"/>
      <c r="H28" s="49"/>
      <c r="I28" s="49"/>
      <c r="J28" s="49"/>
      <c r="K28" s="49"/>
      <c r="L28" s="49"/>
      <c r="M28" s="49"/>
      <c r="N28" s="49"/>
      <c r="O28" s="49"/>
      <c r="P28" s="49"/>
      <c r="Q28" s="49"/>
      <c r="R28" s="49"/>
      <c r="S28" s="7"/>
      <c r="T28" s="136"/>
    </row>
    <row r="29" spans="1:20" ht="15" customHeight="1" x14ac:dyDescent="0.2">
      <c r="A29" s="30">
        <v>29</v>
      </c>
      <c r="B29" s="33"/>
      <c r="C29" s="52"/>
      <c r="D29" s="52"/>
      <c r="E29" s="78"/>
      <c r="F29" s="52" t="s">
        <v>71</v>
      </c>
      <c r="G29" s="49"/>
      <c r="H29" s="120">
        <v>82176.47</v>
      </c>
      <c r="I29" s="120">
        <v>85830.25</v>
      </c>
      <c r="J29" s="120">
        <v>78987.41</v>
      </c>
      <c r="K29" s="120">
        <v>76812.740000000005</v>
      </c>
      <c r="L29" s="120">
        <v>82560.67</v>
      </c>
      <c r="M29" s="120">
        <v>118432.5</v>
      </c>
      <c r="N29" s="120">
        <v>109729.46</v>
      </c>
      <c r="O29" s="120">
        <v>92238.84</v>
      </c>
      <c r="P29" s="120">
        <v>136949.17000000001</v>
      </c>
      <c r="Q29" s="120">
        <v>94706.91</v>
      </c>
      <c r="R29" s="120">
        <v>118641.51</v>
      </c>
      <c r="S29" s="7"/>
      <c r="T29" s="136"/>
    </row>
    <row r="30" spans="1:20" s="3" customFormat="1" ht="32.25" customHeight="1" x14ac:dyDescent="0.2">
      <c r="A30" s="30">
        <v>30</v>
      </c>
      <c r="B30" s="33"/>
      <c r="C30" s="52"/>
      <c r="D30" s="52"/>
      <c r="E30" s="83"/>
      <c r="F30" s="83"/>
      <c r="G30" s="83"/>
      <c r="H30" s="21" t="s">
        <v>40</v>
      </c>
      <c r="I30" s="21" t="s">
        <v>41</v>
      </c>
      <c r="J30" s="21" t="s">
        <v>42</v>
      </c>
      <c r="K30" s="21" t="s">
        <v>43</v>
      </c>
      <c r="L30" s="21" t="s">
        <v>44</v>
      </c>
      <c r="M30" s="21" t="s">
        <v>45</v>
      </c>
      <c r="N30" s="108" t="s">
        <v>46</v>
      </c>
      <c r="O30" s="21" t="s">
        <v>47</v>
      </c>
      <c r="P30" s="21" t="s">
        <v>48</v>
      </c>
      <c r="Q30" s="21" t="s">
        <v>49</v>
      </c>
      <c r="R30" s="21" t="s">
        <v>50</v>
      </c>
      <c r="S30" s="7"/>
      <c r="T30" s="136"/>
    </row>
    <row r="31" spans="1:20" s="3" customFormat="1" ht="15.75" customHeight="1" x14ac:dyDescent="0.2">
      <c r="A31" s="30">
        <v>31</v>
      </c>
      <c r="B31" s="33"/>
      <c r="C31" s="52"/>
      <c r="D31" s="52"/>
      <c r="E31" s="83"/>
      <c r="F31" s="83"/>
      <c r="G31" s="143" t="str">
        <f>IF(ISNUMBER(#REF!),"for year ended","")</f>
        <v/>
      </c>
      <c r="H31" s="94" t="str">
        <f>IF(ISNUMBER(#REF!),DATE(YEAR(#REF!),MONTH(#REF!),DAY(#REF!))-1,"")</f>
        <v/>
      </c>
      <c r="I31" s="94" t="str">
        <f>IF(ISNUMBER(#REF!),DATE(YEAR(#REF!)+1,MONTH(#REF!),DAY(#REF!))-1,"")</f>
        <v/>
      </c>
      <c r="J31" s="94" t="str">
        <f>IF(ISNUMBER(#REF!),DATE(YEAR(#REF!)+2,MONTH(#REF!),DAY(#REF!))-1,"")</f>
        <v/>
      </c>
      <c r="K31" s="94" t="str">
        <f>IF(ISNUMBER(#REF!),DATE(YEAR(#REF!)+3,MONTH(#REF!),DAY(#REF!))-1,"")</f>
        <v/>
      </c>
      <c r="L31" s="94" t="str">
        <f>IF(ISNUMBER(#REF!),DATE(YEAR(#REF!)+4,MONTH(#REF!),DAY(#REF!))-1,"")</f>
        <v/>
      </c>
      <c r="M31" s="94" t="str">
        <f>IF(ISNUMBER(#REF!),DATE(YEAR(#REF!)+5,MONTH(#REF!),DAY(#REF!))-1,"")</f>
        <v/>
      </c>
      <c r="N31" s="94" t="str">
        <f>IF(ISNUMBER(#REF!),DATE(YEAR(#REF!)+6,MONTH(#REF!),DAY(#REF!))-1,"")</f>
        <v/>
      </c>
      <c r="O31" s="94" t="str">
        <f>IF(ISNUMBER(#REF!),DATE(YEAR(#REF!)+7,MONTH(#REF!),DAY(#REF!))-1,"")</f>
        <v/>
      </c>
      <c r="P31" s="94" t="str">
        <f>IF(ISNUMBER(#REF!),DATE(YEAR(#REF!)+8,MONTH(#REF!),DAY(#REF!))-1,"")</f>
        <v/>
      </c>
      <c r="Q31" s="94" t="str">
        <f>IF(ISNUMBER(#REF!),DATE(YEAR(#REF!)+9,MONTH(#REF!),DAY(#REF!))-1,"")</f>
        <v/>
      </c>
      <c r="R31" s="94" t="str">
        <f>IF(ISNUMBER(#REF!),DATE(YEAR(#REF!)+10,MONTH(#REF!),DAY(#REF!))-1,"")</f>
        <v/>
      </c>
      <c r="S31" s="7"/>
      <c r="T31" s="136"/>
    </row>
    <row r="32" spans="1:20" ht="25.5" customHeight="1" x14ac:dyDescent="0.2">
      <c r="A32" s="30">
        <v>32</v>
      </c>
      <c r="B32" s="33"/>
      <c r="C32" s="52"/>
      <c r="D32" s="77"/>
      <c r="E32" s="49"/>
      <c r="F32" s="49"/>
      <c r="G32" s="143"/>
      <c r="H32" s="95" t="s">
        <v>72</v>
      </c>
      <c r="I32" s="49"/>
      <c r="J32" s="49"/>
      <c r="K32" s="49"/>
      <c r="L32" s="49"/>
      <c r="M32" s="49"/>
      <c r="N32" s="49"/>
      <c r="O32" s="49"/>
      <c r="P32" s="49"/>
      <c r="Q32" s="49"/>
      <c r="R32" s="98"/>
      <c r="S32" s="7"/>
      <c r="T32" s="136"/>
    </row>
    <row r="33" spans="1:20" ht="15" customHeight="1" x14ac:dyDescent="0.2">
      <c r="A33" s="30">
        <v>33</v>
      </c>
      <c r="B33" s="33"/>
      <c r="C33" s="52"/>
      <c r="D33" s="52"/>
      <c r="E33" s="50"/>
      <c r="F33" s="52" t="s">
        <v>73</v>
      </c>
      <c r="G33" s="50"/>
      <c r="H33" s="123">
        <f t="shared" ref="H33:M33" si="4">H82</f>
        <v>13670</v>
      </c>
      <c r="I33" s="123">
        <f t="shared" si="4"/>
        <v>19911</v>
      </c>
      <c r="J33" s="123">
        <f t="shared" si="4"/>
        <v>19911.000104096871</v>
      </c>
      <c r="K33" s="123">
        <f t="shared" si="4"/>
        <v>19911</v>
      </c>
      <c r="L33" s="123">
        <f t="shared" si="4"/>
        <v>19911</v>
      </c>
      <c r="M33" s="123">
        <f t="shared" si="4"/>
        <v>19911</v>
      </c>
      <c r="N33" s="120">
        <v>19911</v>
      </c>
      <c r="O33" s="120">
        <v>19911</v>
      </c>
      <c r="P33" s="120">
        <v>19911</v>
      </c>
      <c r="Q33" s="120">
        <v>19911</v>
      </c>
      <c r="R33" s="120">
        <v>19911</v>
      </c>
      <c r="S33" s="7"/>
      <c r="T33" s="136" t="s">
        <v>74</v>
      </c>
    </row>
    <row r="34" spans="1:20" s="4" customFormat="1" ht="15" customHeight="1" x14ac:dyDescent="0.2">
      <c r="A34" s="30">
        <v>34</v>
      </c>
      <c r="B34" s="33"/>
      <c r="C34" s="52"/>
      <c r="D34" s="52"/>
      <c r="E34" s="83"/>
      <c r="F34" s="52" t="s">
        <v>75</v>
      </c>
      <c r="G34" s="83"/>
      <c r="H34" s="123">
        <f t="shared" ref="H34:M34" si="5">H93</f>
        <v>22039.649340000004</v>
      </c>
      <c r="I34" s="123">
        <f t="shared" si="5"/>
        <v>10957.88101875</v>
      </c>
      <c r="J34" s="123">
        <f t="shared" si="5"/>
        <v>18814.896418749999</v>
      </c>
      <c r="K34" s="123">
        <f t="shared" si="5"/>
        <v>25374.1085785</v>
      </c>
      <c r="L34" s="123">
        <f t="shared" si="5"/>
        <v>30511.531579000002</v>
      </c>
      <c r="M34" s="123">
        <f t="shared" si="5"/>
        <v>25762.61438925</v>
      </c>
      <c r="N34" s="120">
        <v>16803.015210000001</v>
      </c>
      <c r="O34" s="120">
        <v>23675.429345749999</v>
      </c>
      <c r="P34" s="120">
        <v>24496.724399999999</v>
      </c>
      <c r="Q34" s="120">
        <v>22134.226999999999</v>
      </c>
      <c r="R34" s="120">
        <v>23920.5995</v>
      </c>
      <c r="S34" s="7"/>
      <c r="T34" s="136" t="s">
        <v>76</v>
      </c>
    </row>
    <row r="35" spans="1:20" ht="15" customHeight="1" x14ac:dyDescent="0.2">
      <c r="A35" s="30">
        <v>35</v>
      </c>
      <c r="B35" s="33"/>
      <c r="C35" s="52"/>
      <c r="D35" s="52"/>
      <c r="E35" s="83"/>
      <c r="F35" s="52" t="s">
        <v>77</v>
      </c>
      <c r="G35" s="83"/>
      <c r="H35" s="123">
        <f t="shared" ref="H35:M35" si="6">H107</f>
        <v>53285.875</v>
      </c>
      <c r="I35" s="123">
        <f t="shared" si="6"/>
        <v>56268.582405000001</v>
      </c>
      <c r="J35" s="123">
        <f t="shared" si="6"/>
        <v>40831.236040000003</v>
      </c>
      <c r="K35" s="123">
        <f t="shared" si="6"/>
        <v>46039.000019999999</v>
      </c>
      <c r="L35" s="123">
        <f t="shared" si="6"/>
        <v>51798.219555000003</v>
      </c>
      <c r="M35" s="123">
        <f t="shared" si="6"/>
        <v>53754.471959999995</v>
      </c>
      <c r="N35" s="120">
        <v>56462.972570000005</v>
      </c>
      <c r="O35" s="120">
        <v>52078.245804999999</v>
      </c>
      <c r="P35" s="120">
        <v>49026.364580000009</v>
      </c>
      <c r="Q35" s="120">
        <v>44195.717525000007</v>
      </c>
      <c r="R35" s="120">
        <v>43719.269375000003</v>
      </c>
      <c r="S35" s="7"/>
      <c r="T35" s="136" t="s">
        <v>78</v>
      </c>
    </row>
    <row r="36" spans="1:20" ht="15" customHeight="1" x14ac:dyDescent="0.2">
      <c r="A36" s="30">
        <v>36</v>
      </c>
      <c r="B36" s="33"/>
      <c r="C36" s="52"/>
      <c r="D36" s="52"/>
      <c r="E36" s="83"/>
      <c r="F36" s="52" t="s">
        <v>79</v>
      </c>
      <c r="G36" s="83"/>
      <c r="H36" s="123">
        <f t="shared" ref="H36:M36" si="7">H122</f>
        <v>4484</v>
      </c>
      <c r="I36" s="123">
        <f t="shared" si="7"/>
        <v>2132</v>
      </c>
      <c r="J36" s="123">
        <f t="shared" si="7"/>
        <v>2132</v>
      </c>
      <c r="K36" s="123">
        <f t="shared" si="7"/>
        <v>2132</v>
      </c>
      <c r="L36" s="123">
        <f t="shared" si="7"/>
        <v>2132</v>
      </c>
      <c r="M36" s="123">
        <f t="shared" si="7"/>
        <v>2132</v>
      </c>
      <c r="N36" s="120">
        <v>2132</v>
      </c>
      <c r="O36" s="120">
        <v>2132</v>
      </c>
      <c r="P36" s="120">
        <v>2132</v>
      </c>
      <c r="Q36" s="120">
        <v>2132</v>
      </c>
      <c r="R36" s="120">
        <v>2132</v>
      </c>
      <c r="S36" s="7"/>
      <c r="T36" s="136" t="s">
        <v>80</v>
      </c>
    </row>
    <row r="37" spans="1:20" s="3" customFormat="1" ht="15" customHeight="1" x14ac:dyDescent="0.2">
      <c r="A37" s="30">
        <v>37</v>
      </c>
      <c r="B37" s="33"/>
      <c r="C37" s="52"/>
      <c r="D37" s="52"/>
      <c r="E37" s="83"/>
      <c r="F37" s="52" t="s">
        <v>57</v>
      </c>
      <c r="G37" s="83"/>
      <c r="H37" s="50"/>
      <c r="I37" s="50"/>
      <c r="J37" s="49"/>
      <c r="K37" s="49"/>
      <c r="L37" s="49"/>
      <c r="M37" s="50"/>
      <c r="N37" s="49"/>
      <c r="O37" s="50"/>
      <c r="P37" s="50"/>
      <c r="Q37" s="49"/>
      <c r="R37" s="49"/>
      <c r="S37" s="7"/>
      <c r="T37" s="136"/>
    </row>
    <row r="38" spans="1:20" ht="15" customHeight="1" x14ac:dyDescent="0.2">
      <c r="A38" s="30">
        <v>38</v>
      </c>
      <c r="B38" s="33"/>
      <c r="C38" s="52"/>
      <c r="D38" s="52"/>
      <c r="E38" s="83"/>
      <c r="F38" s="118" t="s">
        <v>58</v>
      </c>
      <c r="G38" s="83"/>
      <c r="H38" s="123">
        <f t="shared" ref="H38:M38" si="8">H137</f>
        <v>1681.68</v>
      </c>
      <c r="I38" s="123">
        <f t="shared" si="8"/>
        <v>521.36200000000008</v>
      </c>
      <c r="J38" s="123">
        <f t="shared" si="8"/>
        <v>606.36200000000008</v>
      </c>
      <c r="K38" s="123">
        <f t="shared" si="8"/>
        <v>2020.42</v>
      </c>
      <c r="L38" s="123">
        <f t="shared" si="8"/>
        <v>3120.42</v>
      </c>
      <c r="M38" s="123">
        <f t="shared" si="8"/>
        <v>4320.42</v>
      </c>
      <c r="N38" s="120">
        <v>5220.42</v>
      </c>
      <c r="O38" s="120">
        <v>4720.42</v>
      </c>
      <c r="P38" s="120">
        <v>4220.42</v>
      </c>
      <c r="Q38" s="120">
        <v>3720.42</v>
      </c>
      <c r="R38" s="120">
        <v>3720.42</v>
      </c>
      <c r="S38" s="7"/>
      <c r="T38" s="136" t="s">
        <v>81</v>
      </c>
    </row>
    <row r="39" spans="1:20" ht="15" customHeight="1" x14ac:dyDescent="0.2">
      <c r="A39" s="30">
        <v>39</v>
      </c>
      <c r="B39" s="33"/>
      <c r="C39" s="52"/>
      <c r="D39" s="52"/>
      <c r="E39" s="83"/>
      <c r="F39" s="118" t="s">
        <v>59</v>
      </c>
      <c r="G39" s="83"/>
      <c r="H39" s="123">
        <f t="shared" ref="H39:M39" si="9">H152</f>
        <v>0</v>
      </c>
      <c r="I39" s="123">
        <f t="shared" si="9"/>
        <v>0</v>
      </c>
      <c r="J39" s="123">
        <f t="shared" si="9"/>
        <v>0</v>
      </c>
      <c r="K39" s="123">
        <f t="shared" si="9"/>
        <v>0</v>
      </c>
      <c r="L39" s="123">
        <f t="shared" si="9"/>
        <v>0</v>
      </c>
      <c r="M39" s="123">
        <f t="shared" si="9"/>
        <v>0</v>
      </c>
      <c r="N39" s="120"/>
      <c r="O39" s="120"/>
      <c r="P39" s="120"/>
      <c r="Q39" s="120"/>
      <c r="R39" s="120"/>
      <c r="S39" s="7"/>
      <c r="T39" s="136" t="s">
        <v>82</v>
      </c>
    </row>
    <row r="40" spans="1:20" ht="15" customHeight="1" thickBot="1" x14ac:dyDescent="0.25">
      <c r="A40" s="30">
        <v>40</v>
      </c>
      <c r="B40" s="33"/>
      <c r="C40" s="52"/>
      <c r="D40" s="52"/>
      <c r="E40" s="83"/>
      <c r="F40" s="118" t="s">
        <v>60</v>
      </c>
      <c r="G40" s="83"/>
      <c r="H40" s="123">
        <f t="shared" ref="H40:M40" si="10">H166</f>
        <v>0</v>
      </c>
      <c r="I40" s="123">
        <f t="shared" si="10"/>
        <v>0</v>
      </c>
      <c r="J40" s="123">
        <f t="shared" si="10"/>
        <v>0</v>
      </c>
      <c r="K40" s="123">
        <f t="shared" si="10"/>
        <v>0</v>
      </c>
      <c r="L40" s="123">
        <f t="shared" si="10"/>
        <v>0</v>
      </c>
      <c r="M40" s="123">
        <f t="shared" si="10"/>
        <v>0</v>
      </c>
      <c r="N40" s="120"/>
      <c r="O40" s="120"/>
      <c r="P40" s="120"/>
      <c r="Q40" s="120"/>
      <c r="R40" s="120"/>
      <c r="S40" s="7"/>
      <c r="T40" s="136" t="s">
        <v>83</v>
      </c>
    </row>
    <row r="41" spans="1:20" ht="15" customHeight="1" thickBot="1" x14ac:dyDescent="0.25">
      <c r="A41" s="30">
        <v>41</v>
      </c>
      <c r="B41" s="33"/>
      <c r="C41" s="52"/>
      <c r="D41" s="52"/>
      <c r="E41" s="45"/>
      <c r="F41" s="45" t="s">
        <v>61</v>
      </c>
      <c r="G41" s="83"/>
      <c r="H41" s="121">
        <f>SUM(H38:H40)</f>
        <v>1681.68</v>
      </c>
      <c r="I41" s="121">
        <f t="shared" ref="I41:R41" si="11">SUM(I38:I40)</f>
        <v>521.36200000000008</v>
      </c>
      <c r="J41" s="121">
        <f t="shared" si="11"/>
        <v>606.36200000000008</v>
      </c>
      <c r="K41" s="121">
        <f t="shared" si="11"/>
        <v>2020.42</v>
      </c>
      <c r="L41" s="121">
        <f t="shared" si="11"/>
        <v>3120.42</v>
      </c>
      <c r="M41" s="121">
        <f t="shared" si="11"/>
        <v>4320.42</v>
      </c>
      <c r="N41" s="122">
        <f t="shared" si="11"/>
        <v>5220.42</v>
      </c>
      <c r="O41" s="121">
        <f t="shared" si="11"/>
        <v>4720.42</v>
      </c>
      <c r="P41" s="121">
        <f t="shared" si="11"/>
        <v>4220.42</v>
      </c>
      <c r="Q41" s="121">
        <f t="shared" si="11"/>
        <v>3720.42</v>
      </c>
      <c r="R41" s="121">
        <f t="shared" si="11"/>
        <v>3720.42</v>
      </c>
      <c r="S41" s="7"/>
      <c r="T41" s="136"/>
    </row>
    <row r="42" spans="1:20" ht="15" customHeight="1" thickBot="1" x14ac:dyDescent="0.25">
      <c r="A42" s="30">
        <v>42</v>
      </c>
      <c r="B42" s="33"/>
      <c r="C42" s="52"/>
      <c r="D42" s="52"/>
      <c r="E42" s="45" t="s">
        <v>62</v>
      </c>
      <c r="F42" s="45"/>
      <c r="G42" s="83"/>
      <c r="H42" s="121">
        <f>H33+H34+H35+H36+H41</f>
        <v>95161.204339999997</v>
      </c>
      <c r="I42" s="121">
        <f t="shared" ref="I42:R42" si="12">I33+I34+I35+I36+I41</f>
        <v>89790.825423749993</v>
      </c>
      <c r="J42" s="121">
        <f t="shared" si="12"/>
        <v>82295.49456284687</v>
      </c>
      <c r="K42" s="121">
        <f t="shared" si="12"/>
        <v>95476.528598499994</v>
      </c>
      <c r="L42" s="121">
        <f t="shared" si="12"/>
        <v>107473.171134</v>
      </c>
      <c r="M42" s="121">
        <f t="shared" si="12"/>
        <v>105880.50634924999</v>
      </c>
      <c r="N42" s="122">
        <f t="shared" si="12"/>
        <v>100529.40777999999</v>
      </c>
      <c r="O42" s="121">
        <f t="shared" si="12"/>
        <v>102517.09515075</v>
      </c>
      <c r="P42" s="121">
        <f t="shared" si="12"/>
        <v>99786.508979999999</v>
      </c>
      <c r="Q42" s="121">
        <f t="shared" si="12"/>
        <v>92093.364524999997</v>
      </c>
      <c r="R42" s="121">
        <f t="shared" si="12"/>
        <v>93403.288874999998</v>
      </c>
      <c r="S42" s="7"/>
      <c r="T42" s="136"/>
    </row>
    <row r="43" spans="1:20" ht="15" customHeight="1" thickBot="1" x14ac:dyDescent="0.25">
      <c r="A43" s="30">
        <v>43</v>
      </c>
      <c r="B43" s="33"/>
      <c r="C43" s="52"/>
      <c r="D43" s="52"/>
      <c r="E43" s="78"/>
      <c r="F43" s="52" t="s">
        <v>63</v>
      </c>
      <c r="G43" s="83"/>
      <c r="H43" s="123">
        <f t="shared" ref="H43:M43" si="13">H194</f>
        <v>5438.8040000000001</v>
      </c>
      <c r="I43" s="123">
        <f t="shared" si="13"/>
        <v>5528.7787094075038</v>
      </c>
      <c r="J43" s="123">
        <f t="shared" si="13"/>
        <v>2958.3459829283188</v>
      </c>
      <c r="K43" s="123">
        <f t="shared" si="13"/>
        <v>5329.4460995225054</v>
      </c>
      <c r="L43" s="123">
        <f t="shared" si="13"/>
        <v>3198</v>
      </c>
      <c r="M43" s="123">
        <f t="shared" si="13"/>
        <v>3332.6861482829995</v>
      </c>
      <c r="N43" s="120">
        <v>5585.9300895349961</v>
      </c>
      <c r="O43" s="120">
        <v>3044.8682833751168</v>
      </c>
      <c r="P43" s="120">
        <v>3054.0759165735794</v>
      </c>
      <c r="Q43" s="120">
        <v>3619.8710826818719</v>
      </c>
      <c r="R43" s="120">
        <v>4628</v>
      </c>
      <c r="S43" s="7"/>
      <c r="T43" s="136" t="s">
        <v>84</v>
      </c>
    </row>
    <row r="44" spans="1:20" ht="15" customHeight="1" thickBot="1" x14ac:dyDescent="0.25">
      <c r="A44" s="30">
        <v>44</v>
      </c>
      <c r="B44" s="33"/>
      <c r="C44" s="52"/>
      <c r="D44" s="52"/>
      <c r="E44" s="78" t="s">
        <v>64</v>
      </c>
      <c r="F44" s="52"/>
      <c r="G44" s="49"/>
      <c r="H44" s="121">
        <f>H42+H43</f>
        <v>100600.00834</v>
      </c>
      <c r="I44" s="121">
        <f t="shared" ref="I44:R44" si="14">I42+I43</f>
        <v>95319.604133157496</v>
      </c>
      <c r="J44" s="121">
        <f t="shared" si="14"/>
        <v>85253.840545775194</v>
      </c>
      <c r="K44" s="121">
        <f t="shared" si="14"/>
        <v>100805.9746980225</v>
      </c>
      <c r="L44" s="121">
        <f t="shared" si="14"/>
        <v>110671.171134</v>
      </c>
      <c r="M44" s="121">
        <f t="shared" si="14"/>
        <v>109213.19249753299</v>
      </c>
      <c r="N44" s="122">
        <f t="shared" si="14"/>
        <v>106115.337869535</v>
      </c>
      <c r="O44" s="121">
        <f t="shared" si="14"/>
        <v>105561.96343412512</v>
      </c>
      <c r="P44" s="121">
        <f t="shared" si="14"/>
        <v>102840.58489657358</v>
      </c>
      <c r="Q44" s="121">
        <f t="shared" si="14"/>
        <v>95713.235607681869</v>
      </c>
      <c r="R44" s="121">
        <f t="shared" si="14"/>
        <v>98031.288874999998</v>
      </c>
      <c r="S44" s="7"/>
      <c r="T44" s="136"/>
    </row>
    <row r="45" spans="1:20" s="3" customFormat="1" ht="15" customHeight="1" x14ac:dyDescent="0.2">
      <c r="A45" s="30">
        <v>45</v>
      </c>
      <c r="B45" s="33"/>
      <c r="C45" s="52"/>
      <c r="D45" s="77"/>
      <c r="E45" s="77"/>
      <c r="F45" s="52"/>
      <c r="G45" s="83"/>
      <c r="H45" s="50"/>
      <c r="I45" s="50"/>
      <c r="J45" s="49"/>
      <c r="K45" s="49"/>
      <c r="L45" s="49"/>
      <c r="M45" s="50"/>
      <c r="N45" s="49"/>
      <c r="O45" s="50"/>
      <c r="P45" s="50"/>
      <c r="Q45" s="49"/>
      <c r="R45" s="49"/>
      <c r="S45" s="7"/>
      <c r="T45" s="136"/>
    </row>
    <row r="46" spans="1:20" ht="15" customHeight="1" x14ac:dyDescent="0.25">
      <c r="A46" s="30">
        <v>46</v>
      </c>
      <c r="B46" s="33"/>
      <c r="C46" s="88"/>
      <c r="D46" s="76" t="s">
        <v>85</v>
      </c>
      <c r="E46" s="78"/>
      <c r="F46" s="88"/>
      <c r="G46" s="49"/>
      <c r="H46" s="49"/>
      <c r="I46" s="49"/>
      <c r="J46" s="49"/>
      <c r="K46" s="49"/>
      <c r="L46" s="49"/>
      <c r="M46" s="49"/>
      <c r="N46" s="49"/>
      <c r="O46" s="49"/>
      <c r="P46" s="49"/>
      <c r="Q46" s="49"/>
      <c r="R46" s="49"/>
      <c r="S46" s="7"/>
      <c r="T46" s="136"/>
    </row>
    <row r="47" spans="1:20" x14ac:dyDescent="0.2">
      <c r="A47" s="30"/>
      <c r="B47" s="33"/>
      <c r="C47" s="88"/>
      <c r="D47" s="85" t="s">
        <v>159</v>
      </c>
      <c r="E47" s="78"/>
      <c r="F47" s="88"/>
      <c r="G47" s="49"/>
      <c r="H47" s="49"/>
      <c r="I47" s="49"/>
      <c r="J47" s="49"/>
      <c r="K47" s="49"/>
      <c r="L47" s="49"/>
      <c r="M47" s="49"/>
      <c r="N47" s="49"/>
      <c r="O47" s="49"/>
      <c r="P47" s="49"/>
      <c r="Q47" s="49"/>
      <c r="R47" s="49"/>
      <c r="S47" s="7"/>
      <c r="T47" s="136"/>
    </row>
    <row r="48" spans="1:20" ht="15" customHeight="1" x14ac:dyDescent="0.2">
      <c r="A48" s="30">
        <v>47</v>
      </c>
      <c r="B48" s="33"/>
      <c r="C48" s="88"/>
      <c r="D48" s="88"/>
      <c r="E48" s="78"/>
      <c r="F48" s="88" t="s">
        <v>86</v>
      </c>
      <c r="G48" s="49"/>
      <c r="H48" s="120"/>
      <c r="I48" s="120"/>
      <c r="J48" s="120"/>
      <c r="K48" s="120"/>
      <c r="L48" s="120"/>
      <c r="M48" s="120"/>
      <c r="N48" s="120"/>
      <c r="O48" s="120"/>
      <c r="P48" s="120"/>
      <c r="Q48" s="120"/>
      <c r="R48" s="120"/>
      <c r="S48" s="7"/>
      <c r="T48" s="136"/>
    </row>
    <row r="49" spans="1:20" ht="15" customHeight="1" x14ac:dyDescent="0.2">
      <c r="A49" s="30">
        <v>48</v>
      </c>
      <c r="B49" s="33"/>
      <c r="C49" s="52"/>
      <c r="D49" s="52"/>
      <c r="E49" s="78"/>
      <c r="F49" s="52" t="s">
        <v>87</v>
      </c>
      <c r="G49" s="49"/>
      <c r="H49" s="120"/>
      <c r="I49" s="120"/>
      <c r="J49" s="120"/>
      <c r="K49" s="120"/>
      <c r="L49" s="120"/>
      <c r="M49" s="120"/>
      <c r="N49" s="120"/>
      <c r="O49" s="120"/>
      <c r="P49" s="120"/>
      <c r="Q49" s="120"/>
      <c r="R49" s="120"/>
      <c r="S49" s="7"/>
      <c r="T49" s="136"/>
    </row>
    <row r="50" spans="1:20" ht="15" customHeight="1" x14ac:dyDescent="0.2">
      <c r="A50" s="30">
        <v>49</v>
      </c>
      <c r="B50" s="33"/>
      <c r="C50" s="52"/>
      <c r="D50" s="52"/>
      <c r="E50" s="78"/>
      <c r="F50" s="52" t="s">
        <v>88</v>
      </c>
      <c r="G50" s="49"/>
      <c r="H50" s="120"/>
      <c r="I50" s="120"/>
      <c r="J50" s="120"/>
      <c r="K50" s="120"/>
      <c r="L50" s="120"/>
      <c r="M50" s="120"/>
      <c r="N50" s="120"/>
      <c r="O50" s="120"/>
      <c r="P50" s="120"/>
      <c r="Q50" s="120"/>
      <c r="R50" s="120"/>
      <c r="S50" s="7"/>
      <c r="T50" s="136"/>
    </row>
    <row r="51" spans="1:20" ht="14.25" customHeight="1" x14ac:dyDescent="0.2">
      <c r="A51" s="30">
        <v>50</v>
      </c>
      <c r="B51" s="33"/>
      <c r="C51" s="52"/>
      <c r="D51" s="52"/>
      <c r="E51" s="78"/>
      <c r="F51" s="52" t="s">
        <v>163</v>
      </c>
      <c r="G51" s="49"/>
      <c r="H51" s="120"/>
      <c r="I51" s="120"/>
      <c r="J51" s="120"/>
      <c r="K51" s="120"/>
      <c r="L51" s="120"/>
      <c r="M51" s="120"/>
      <c r="N51" s="120"/>
      <c r="O51" s="120"/>
      <c r="P51" s="120"/>
      <c r="Q51" s="120"/>
      <c r="R51" s="120"/>
      <c r="S51" s="7"/>
      <c r="T51" s="136"/>
    </row>
    <row r="52" spans="1:20" ht="14.25" customHeight="1" x14ac:dyDescent="0.2">
      <c r="A52" s="30">
        <v>51</v>
      </c>
      <c r="B52" s="33"/>
      <c r="C52" s="52"/>
      <c r="D52" s="52"/>
      <c r="E52" s="78"/>
      <c r="F52" s="184"/>
      <c r="G52" s="83"/>
      <c r="H52" s="83"/>
      <c r="I52" s="83"/>
      <c r="J52" s="83"/>
      <c r="K52" s="83"/>
      <c r="L52" s="83"/>
      <c r="M52" s="83"/>
      <c r="N52" s="83"/>
      <c r="O52" s="83"/>
      <c r="P52" s="83"/>
      <c r="Q52" s="83"/>
      <c r="R52" s="83"/>
      <c r="S52" s="83"/>
      <c r="T52" s="136"/>
    </row>
    <row r="53" spans="1:20" ht="34.5" customHeight="1" x14ac:dyDescent="0.2">
      <c r="A53" s="30">
        <v>52</v>
      </c>
      <c r="B53" s="33"/>
      <c r="C53" s="52"/>
      <c r="D53" s="52"/>
      <c r="E53" s="78"/>
      <c r="F53" s="52"/>
      <c r="G53" s="83"/>
      <c r="H53" s="21" t="s">
        <v>40</v>
      </c>
      <c r="I53" s="21" t="s">
        <v>41</v>
      </c>
      <c r="J53" s="21" t="s">
        <v>42</v>
      </c>
      <c r="K53" s="21" t="s">
        <v>43</v>
      </c>
      <c r="L53" s="21" t="s">
        <v>44</v>
      </c>
      <c r="M53" s="21" t="s">
        <v>45</v>
      </c>
      <c r="N53" s="21" t="s">
        <v>46</v>
      </c>
      <c r="O53" s="21" t="s">
        <v>47</v>
      </c>
      <c r="P53" s="21" t="s">
        <v>48</v>
      </c>
      <c r="Q53" s="21" t="s">
        <v>49</v>
      </c>
      <c r="R53" s="21" t="s">
        <v>50</v>
      </c>
      <c r="S53" s="7"/>
      <c r="T53" s="136"/>
    </row>
    <row r="54" spans="1:20" ht="15" customHeight="1" x14ac:dyDescent="0.2">
      <c r="A54" s="30">
        <v>53</v>
      </c>
      <c r="B54" s="33"/>
      <c r="C54" s="52"/>
      <c r="D54" s="52"/>
      <c r="E54" s="78"/>
      <c r="F54" s="52"/>
      <c r="G54" s="143" t="str">
        <f>IF(ISNUMBER(#REF!),"for year ended","")</f>
        <v/>
      </c>
      <c r="H54" s="94" t="str">
        <f>IF(ISNUMBER(#REF!),DATE(YEAR(#REF!),MONTH(#REF!),DAY(#REF!))-1,"")</f>
        <v/>
      </c>
      <c r="I54" s="94" t="str">
        <f>IF(ISNUMBER(#REF!),DATE(YEAR(#REF!)+1,MONTH(#REF!),DAY(#REF!))-1,"")</f>
        <v/>
      </c>
      <c r="J54" s="94" t="str">
        <f>IF(ISNUMBER(#REF!),DATE(YEAR(#REF!)+2,MONTH(#REF!),DAY(#REF!))-1,"")</f>
        <v/>
      </c>
      <c r="K54" s="94" t="str">
        <f>IF(ISNUMBER(#REF!),DATE(YEAR(#REF!)+3,MONTH(#REF!),DAY(#REF!))-1,"")</f>
        <v/>
      </c>
      <c r="L54" s="94" t="str">
        <f>IF(ISNUMBER(#REF!),DATE(YEAR(#REF!)+4,MONTH(#REF!),DAY(#REF!))-1,"")</f>
        <v/>
      </c>
      <c r="M54" s="94" t="str">
        <f>IF(ISNUMBER(#REF!),DATE(YEAR(#REF!)+5,MONTH(#REF!),DAY(#REF!))-1,"")</f>
        <v/>
      </c>
      <c r="N54" s="94" t="str">
        <f>IF(ISNUMBER(#REF!),DATE(YEAR(#REF!)+6,MONTH(#REF!),DAY(#REF!))-1,"")</f>
        <v/>
      </c>
      <c r="O54" s="94" t="str">
        <f>IF(ISNUMBER(#REF!),DATE(YEAR(#REF!)+7,MONTH(#REF!),DAY(#REF!))-1,"")</f>
        <v/>
      </c>
      <c r="P54" s="94" t="str">
        <f>IF(ISNUMBER(#REF!),DATE(YEAR(#REF!)+8,MONTH(#REF!),DAY(#REF!))-1,"")</f>
        <v/>
      </c>
      <c r="Q54" s="94" t="str">
        <f>IF(ISNUMBER(#REF!),DATE(YEAR(#REF!)+9,MONTH(#REF!),DAY(#REF!))-1,"")</f>
        <v/>
      </c>
      <c r="R54" s="94" t="str">
        <f>IF(ISNUMBER(#REF!),DATE(YEAR(#REF!)+10,MONTH(#REF!),DAY(#REF!))-1,"")</f>
        <v/>
      </c>
      <c r="S54" s="7"/>
      <c r="T54" s="136"/>
    </row>
    <row r="55" spans="1:20" ht="15" customHeight="1" x14ac:dyDescent="0.25">
      <c r="A55" s="30">
        <v>54</v>
      </c>
      <c r="B55" s="33"/>
      <c r="C55" s="52"/>
      <c r="D55" s="76" t="s">
        <v>89</v>
      </c>
      <c r="E55" s="49"/>
      <c r="F55" s="49"/>
      <c r="G55" s="49"/>
      <c r="H55" s="99" t="s">
        <v>90</v>
      </c>
      <c r="I55" s="49"/>
      <c r="J55" s="49"/>
      <c r="K55" s="49"/>
      <c r="L55" s="49"/>
      <c r="M55" s="49"/>
      <c r="N55" s="49"/>
      <c r="O55" s="49"/>
      <c r="P55" s="49"/>
      <c r="Q55" s="49"/>
      <c r="R55" s="100"/>
      <c r="S55" s="7"/>
      <c r="T55" s="137"/>
    </row>
    <row r="56" spans="1:20" ht="15" customHeight="1" x14ac:dyDescent="0.2">
      <c r="A56" s="30">
        <v>55</v>
      </c>
      <c r="B56" s="33"/>
      <c r="C56" s="52"/>
      <c r="D56" s="52"/>
      <c r="E56" s="50"/>
      <c r="F56" s="52" t="s">
        <v>73</v>
      </c>
      <c r="G56" s="50"/>
      <c r="H56" s="123">
        <f t="shared" ref="H56:R56" si="15">H10-H33</f>
        <v>0</v>
      </c>
      <c r="I56" s="123">
        <f t="shared" si="15"/>
        <v>806.45764887547193</v>
      </c>
      <c r="J56" s="123">
        <f t="shared" si="15"/>
        <v>1277.3600130022714</v>
      </c>
      <c r="K56" s="123">
        <f t="shared" si="15"/>
        <v>1748.2623637727193</v>
      </c>
      <c r="L56" s="123">
        <f t="shared" si="15"/>
        <v>2219.1647212213429</v>
      </c>
      <c r="M56" s="123">
        <f t="shared" si="15"/>
        <v>2690.0670786699993</v>
      </c>
      <c r="N56" s="124">
        <f t="shared" si="15"/>
        <v>3160.9694361185902</v>
      </c>
      <c r="O56" s="123">
        <f t="shared" si="15"/>
        <v>3631.8717935672103</v>
      </c>
      <c r="P56" s="123">
        <f t="shared" si="15"/>
        <v>4102.7741510158376</v>
      </c>
      <c r="Q56" s="123">
        <f t="shared" si="15"/>
        <v>4573.6765084644539</v>
      </c>
      <c r="R56" s="123">
        <f t="shared" si="15"/>
        <v>5044.5788659130812</v>
      </c>
      <c r="S56" s="7"/>
      <c r="T56" s="136"/>
    </row>
    <row r="57" spans="1:20" s="4" customFormat="1" ht="15" customHeight="1" x14ac:dyDescent="0.2">
      <c r="A57" s="30">
        <v>56</v>
      </c>
      <c r="B57" s="33"/>
      <c r="C57" s="52"/>
      <c r="D57" s="52"/>
      <c r="E57" s="83"/>
      <c r="F57" s="52" t="s">
        <v>75</v>
      </c>
      <c r="G57" s="83"/>
      <c r="H57" s="123">
        <f t="shared" ref="H57:R57" si="16">H11-H34</f>
        <v>0</v>
      </c>
      <c r="I57" s="123">
        <f t="shared" si="16"/>
        <v>129.24486604812409</v>
      </c>
      <c r="J57" s="123">
        <f t="shared" si="16"/>
        <v>911.1706968081271</v>
      </c>
      <c r="K57" s="123">
        <f t="shared" si="16"/>
        <v>1675.2781879803006</v>
      </c>
      <c r="L57" s="123">
        <f t="shared" si="16"/>
        <v>2578.8040170517997</v>
      </c>
      <c r="M57" s="123">
        <f t="shared" si="16"/>
        <v>2638.1668187168798</v>
      </c>
      <c r="N57" s="124">
        <f t="shared" si="16"/>
        <v>1890.6791230083109</v>
      </c>
      <c r="O57" s="123">
        <f t="shared" si="16"/>
        <v>2706.4884675507674</v>
      </c>
      <c r="P57" s="123">
        <f t="shared" si="16"/>
        <v>2070.1139814942217</v>
      </c>
      <c r="Q57" s="123">
        <f t="shared" si="16"/>
        <v>2639.833281807103</v>
      </c>
      <c r="R57" s="123">
        <f t="shared" si="16"/>
        <v>4773.5701640839216</v>
      </c>
      <c r="S57" s="7"/>
      <c r="T57" s="136"/>
    </row>
    <row r="58" spans="1:20" ht="15" customHeight="1" x14ac:dyDescent="0.2">
      <c r="A58" s="30">
        <v>57</v>
      </c>
      <c r="B58" s="33"/>
      <c r="C58" s="52"/>
      <c r="D58" s="52"/>
      <c r="E58" s="83"/>
      <c r="F58" s="52" t="s">
        <v>77</v>
      </c>
      <c r="G58" s="83"/>
      <c r="H58" s="123">
        <f t="shared" ref="H58:R58" si="17">H12-H35</f>
        <v>0</v>
      </c>
      <c r="I58" s="123">
        <f t="shared" si="17"/>
        <v>1838.5526886067382</v>
      </c>
      <c r="J58" s="123">
        <f t="shared" si="17"/>
        <v>2094.8996423318895</v>
      </c>
      <c r="K58" s="123">
        <f t="shared" si="17"/>
        <v>3210.2907992092441</v>
      </c>
      <c r="L58" s="123">
        <f t="shared" si="17"/>
        <v>4567.1818608824469</v>
      </c>
      <c r="M58" s="123">
        <f t="shared" si="17"/>
        <v>5530.1070697441537</v>
      </c>
      <c r="N58" s="124">
        <f t="shared" si="17"/>
        <v>6676.3107160674699</v>
      </c>
      <c r="O58" s="123">
        <f t="shared" si="17"/>
        <v>7147.8727877839119</v>
      </c>
      <c r="P58" s="123">
        <f t="shared" si="17"/>
        <v>7683.6279392977085</v>
      </c>
      <c r="Q58" s="123">
        <f t="shared" si="17"/>
        <v>7764.226141632178</v>
      </c>
      <c r="R58" s="123">
        <f t="shared" si="17"/>
        <v>8448.6220254093132</v>
      </c>
      <c r="S58" s="7"/>
      <c r="T58" s="136"/>
    </row>
    <row r="59" spans="1:20" ht="15" customHeight="1" x14ac:dyDescent="0.2">
      <c r="A59" s="30">
        <v>58</v>
      </c>
      <c r="B59" s="33"/>
      <c r="C59" s="52"/>
      <c r="D59" s="52"/>
      <c r="E59" s="83"/>
      <c r="F59" s="52" t="s">
        <v>79</v>
      </c>
      <c r="G59" s="83"/>
      <c r="H59" s="123">
        <f t="shared" ref="H59:R59" si="18">H13-H36</f>
        <v>0</v>
      </c>
      <c r="I59" s="123">
        <f t="shared" si="18"/>
        <v>86.352654683466426</v>
      </c>
      <c r="J59" s="123">
        <f t="shared" si="18"/>
        <v>136.77522643176962</v>
      </c>
      <c r="K59" s="123">
        <f t="shared" si="18"/>
        <v>187.19779818007282</v>
      </c>
      <c r="L59" s="123">
        <f t="shared" si="18"/>
        <v>237.62036992837648</v>
      </c>
      <c r="M59" s="123">
        <f t="shared" si="18"/>
        <v>288.04294167667922</v>
      </c>
      <c r="N59" s="124">
        <f t="shared" si="18"/>
        <v>338.46551342498287</v>
      </c>
      <c r="O59" s="123">
        <f t="shared" si="18"/>
        <v>388.88808517328562</v>
      </c>
      <c r="P59" s="123">
        <f t="shared" si="18"/>
        <v>439.31065692158882</v>
      </c>
      <c r="Q59" s="123">
        <f t="shared" si="18"/>
        <v>489.73322866989201</v>
      </c>
      <c r="R59" s="123">
        <f t="shared" si="18"/>
        <v>540.15580041819521</v>
      </c>
      <c r="S59" s="7"/>
      <c r="T59" s="136"/>
    </row>
    <row r="60" spans="1:20" s="3" customFormat="1" ht="15" customHeight="1" x14ac:dyDescent="0.2">
      <c r="A60" s="30">
        <v>59</v>
      </c>
      <c r="B60" s="33"/>
      <c r="C60" s="52"/>
      <c r="D60" s="52"/>
      <c r="E60" s="83"/>
      <c r="F60" s="52" t="s">
        <v>57</v>
      </c>
      <c r="G60" s="83"/>
      <c r="H60" s="91"/>
      <c r="I60" s="91"/>
      <c r="J60" s="89"/>
      <c r="K60" s="89"/>
      <c r="L60" s="89"/>
      <c r="M60" s="91"/>
      <c r="N60" s="89"/>
      <c r="O60" s="91"/>
      <c r="P60" s="91"/>
      <c r="Q60" s="89"/>
      <c r="R60" s="89"/>
      <c r="S60" s="7"/>
      <c r="T60" s="136"/>
    </row>
    <row r="61" spans="1:20" ht="15" customHeight="1" x14ac:dyDescent="0.2">
      <c r="A61" s="30">
        <v>60</v>
      </c>
      <c r="B61" s="33"/>
      <c r="C61" s="52"/>
      <c r="D61" s="52"/>
      <c r="E61" s="83"/>
      <c r="F61" s="118" t="s">
        <v>58</v>
      </c>
      <c r="G61" s="83"/>
      <c r="H61" s="123">
        <f t="shared" ref="H61:R61" si="19">H15-H38</f>
        <v>0</v>
      </c>
      <c r="I61" s="123">
        <f t="shared" si="19"/>
        <v>21.116788344784936</v>
      </c>
      <c r="J61" s="123">
        <f t="shared" si="19"/>
        <v>38.90023445104157</v>
      </c>
      <c r="K61" s="123">
        <f t="shared" si="19"/>
        <v>177.4006451214741</v>
      </c>
      <c r="L61" s="123">
        <f t="shared" si="19"/>
        <v>347.78393749151246</v>
      </c>
      <c r="M61" s="123">
        <f t="shared" si="19"/>
        <v>583.70848315138846</v>
      </c>
      <c r="N61" s="124">
        <f t="shared" si="19"/>
        <v>828.76741819608196</v>
      </c>
      <c r="O61" s="123">
        <f t="shared" si="19"/>
        <v>861.02959428409122</v>
      </c>
      <c r="P61" s="123">
        <f t="shared" si="19"/>
        <v>869.64140838884214</v>
      </c>
      <c r="Q61" s="123">
        <f t="shared" si="19"/>
        <v>854.60286051033745</v>
      </c>
      <c r="R61" s="123">
        <f t="shared" si="19"/>
        <v>942.59214024008543</v>
      </c>
      <c r="S61" s="7"/>
      <c r="T61" s="136"/>
    </row>
    <row r="62" spans="1:20" ht="15" customHeight="1" x14ac:dyDescent="0.2">
      <c r="A62" s="30">
        <v>61</v>
      </c>
      <c r="B62" s="33"/>
      <c r="C62" s="52"/>
      <c r="D62" s="52"/>
      <c r="E62" s="83"/>
      <c r="F62" s="118" t="s">
        <v>59</v>
      </c>
      <c r="G62" s="83"/>
      <c r="H62" s="123">
        <f t="shared" ref="H62:R62" si="20">H16-H39</f>
        <v>0</v>
      </c>
      <c r="I62" s="123">
        <f t="shared" si="20"/>
        <v>0</v>
      </c>
      <c r="J62" s="123">
        <f t="shared" si="20"/>
        <v>0</v>
      </c>
      <c r="K62" s="123">
        <f t="shared" si="20"/>
        <v>0</v>
      </c>
      <c r="L62" s="123">
        <f t="shared" si="20"/>
        <v>0</v>
      </c>
      <c r="M62" s="123">
        <f t="shared" si="20"/>
        <v>0</v>
      </c>
      <c r="N62" s="124">
        <f t="shared" si="20"/>
        <v>0</v>
      </c>
      <c r="O62" s="123">
        <f t="shared" si="20"/>
        <v>0</v>
      </c>
      <c r="P62" s="123">
        <f t="shared" si="20"/>
        <v>0</v>
      </c>
      <c r="Q62" s="123">
        <f t="shared" si="20"/>
        <v>0</v>
      </c>
      <c r="R62" s="123">
        <f t="shared" si="20"/>
        <v>0</v>
      </c>
      <c r="S62" s="7"/>
      <c r="T62" s="136"/>
    </row>
    <row r="63" spans="1:20" ht="15" customHeight="1" thickBot="1" x14ac:dyDescent="0.25">
      <c r="A63" s="30">
        <v>62</v>
      </c>
      <c r="B63" s="33"/>
      <c r="C63" s="52"/>
      <c r="D63" s="52"/>
      <c r="E63" s="83"/>
      <c r="F63" s="118" t="s">
        <v>60</v>
      </c>
      <c r="G63" s="83"/>
      <c r="H63" s="123">
        <f t="shared" ref="H63:R63" si="21">H17-H40</f>
        <v>0</v>
      </c>
      <c r="I63" s="123">
        <f t="shared" si="21"/>
        <v>0</v>
      </c>
      <c r="J63" s="123">
        <f t="shared" si="21"/>
        <v>0</v>
      </c>
      <c r="K63" s="123">
        <f t="shared" si="21"/>
        <v>0</v>
      </c>
      <c r="L63" s="123">
        <f t="shared" si="21"/>
        <v>0</v>
      </c>
      <c r="M63" s="123">
        <f t="shared" si="21"/>
        <v>0</v>
      </c>
      <c r="N63" s="125">
        <f t="shared" si="21"/>
        <v>0</v>
      </c>
      <c r="O63" s="123">
        <f t="shared" si="21"/>
        <v>0</v>
      </c>
      <c r="P63" s="123">
        <f t="shared" si="21"/>
        <v>0</v>
      </c>
      <c r="Q63" s="123">
        <f t="shared" si="21"/>
        <v>0</v>
      </c>
      <c r="R63" s="123">
        <f t="shared" si="21"/>
        <v>0</v>
      </c>
      <c r="S63" s="7"/>
      <c r="T63" s="136"/>
    </row>
    <row r="64" spans="1:20" ht="15" customHeight="1" thickBot="1" x14ac:dyDescent="0.25">
      <c r="A64" s="30">
        <v>63</v>
      </c>
      <c r="B64" s="33"/>
      <c r="C64" s="52"/>
      <c r="D64" s="52"/>
      <c r="E64" s="45"/>
      <c r="F64" s="45" t="s">
        <v>61</v>
      </c>
      <c r="G64" s="83"/>
      <c r="H64" s="121">
        <f t="shared" ref="H64:R64" si="22">H18-H41</f>
        <v>0</v>
      </c>
      <c r="I64" s="121">
        <f t="shared" si="22"/>
        <v>21.116788344784936</v>
      </c>
      <c r="J64" s="121">
        <f t="shared" si="22"/>
        <v>38.90023445104157</v>
      </c>
      <c r="K64" s="121">
        <f t="shared" si="22"/>
        <v>177.4006451214741</v>
      </c>
      <c r="L64" s="121">
        <f t="shared" si="22"/>
        <v>347.78393749151246</v>
      </c>
      <c r="M64" s="121">
        <f t="shared" si="22"/>
        <v>583.70848315138846</v>
      </c>
      <c r="N64" s="122">
        <f t="shared" si="22"/>
        <v>828.76741819608196</v>
      </c>
      <c r="O64" s="121">
        <f t="shared" si="22"/>
        <v>861.02959428409122</v>
      </c>
      <c r="P64" s="121">
        <f t="shared" si="22"/>
        <v>869.64140838884214</v>
      </c>
      <c r="Q64" s="121">
        <f t="shared" si="22"/>
        <v>854.60286051033745</v>
      </c>
      <c r="R64" s="121">
        <f t="shared" si="22"/>
        <v>942.59214024008543</v>
      </c>
      <c r="S64" s="7"/>
      <c r="T64" s="136"/>
    </row>
    <row r="65" spans="1:20" ht="15" customHeight="1" thickBot="1" x14ac:dyDescent="0.25">
      <c r="A65" s="30">
        <v>64</v>
      </c>
      <c r="B65" s="33"/>
      <c r="C65" s="52"/>
      <c r="D65" s="52"/>
      <c r="E65" s="45" t="s">
        <v>62</v>
      </c>
      <c r="F65" s="45"/>
      <c r="G65" s="83"/>
      <c r="H65" s="121">
        <f>H19-H42</f>
        <v>0</v>
      </c>
      <c r="I65" s="121">
        <f t="shared" ref="I65:R65" si="23">I19-I42</f>
        <v>2881.7246465585922</v>
      </c>
      <c r="J65" s="121">
        <f t="shared" si="23"/>
        <v>4459.105813025104</v>
      </c>
      <c r="K65" s="121">
        <f t="shared" si="23"/>
        <v>6998.4297942638223</v>
      </c>
      <c r="L65" s="121">
        <f t="shared" si="23"/>
        <v>9950.5549065754894</v>
      </c>
      <c r="M65" s="121">
        <f t="shared" si="23"/>
        <v>11730.092391959115</v>
      </c>
      <c r="N65" s="122">
        <f>N19-N42</f>
        <v>12895.192206815453</v>
      </c>
      <c r="O65" s="121">
        <f t="shared" si="23"/>
        <v>14736.150728359265</v>
      </c>
      <c r="P65" s="121">
        <f t="shared" si="23"/>
        <v>15165.468137118194</v>
      </c>
      <c r="Q65" s="121">
        <f t="shared" si="23"/>
        <v>16322.072021083965</v>
      </c>
      <c r="R65" s="121">
        <f t="shared" si="23"/>
        <v>19749.518996064609</v>
      </c>
      <c r="S65" s="7"/>
      <c r="T65" s="136"/>
    </row>
    <row r="66" spans="1:20" ht="15" customHeight="1" thickBot="1" x14ac:dyDescent="0.25">
      <c r="A66" s="30">
        <v>65</v>
      </c>
      <c r="B66" s="33"/>
      <c r="C66" s="52"/>
      <c r="D66" s="52"/>
      <c r="E66" s="78"/>
      <c r="F66" s="52" t="s">
        <v>63</v>
      </c>
      <c r="G66" s="83"/>
      <c r="H66" s="123">
        <f t="shared" ref="H66:R66" si="24">H20-H43</f>
        <v>0</v>
      </c>
      <c r="I66" s="123">
        <f t="shared" si="24"/>
        <v>223.93279489435736</v>
      </c>
      <c r="J66" s="123">
        <f t="shared" si="24"/>
        <v>189.7881996616029</v>
      </c>
      <c r="K66" s="123">
        <f t="shared" si="24"/>
        <v>467.94586085834453</v>
      </c>
      <c r="L66" s="123">
        <f t="shared" si="24"/>
        <v>356.43055489256403</v>
      </c>
      <c r="M66" s="123">
        <f t="shared" si="24"/>
        <v>450.26112656498935</v>
      </c>
      <c r="N66" s="126">
        <f t="shared" si="24"/>
        <v>886.79394733138815</v>
      </c>
      <c r="O66" s="123">
        <f>O20-O43</f>
        <v>555.40009208565698</v>
      </c>
      <c r="P66" s="123">
        <f t="shared" si="24"/>
        <v>629.30961407051745</v>
      </c>
      <c r="Q66" s="123">
        <f t="shared" si="24"/>
        <v>831.50616917944217</v>
      </c>
      <c r="R66" s="123">
        <f t="shared" si="24"/>
        <v>1173.108520407377</v>
      </c>
      <c r="S66" s="7"/>
      <c r="T66" s="136"/>
    </row>
    <row r="67" spans="1:20" ht="15" customHeight="1" thickBot="1" x14ac:dyDescent="0.25">
      <c r="A67" s="30">
        <v>66</v>
      </c>
      <c r="B67" s="33"/>
      <c r="C67" s="52"/>
      <c r="D67" s="52"/>
      <c r="E67" s="78" t="s">
        <v>64</v>
      </c>
      <c r="F67" s="52"/>
      <c r="G67" s="49"/>
      <c r="H67" s="121">
        <f>H21-H44</f>
        <v>0</v>
      </c>
      <c r="I67" s="121">
        <f t="shared" ref="I67:R67" si="25">I21-I44</f>
        <v>3105.6574414529459</v>
      </c>
      <c r="J67" s="121">
        <f t="shared" si="25"/>
        <v>4648.8940126867092</v>
      </c>
      <c r="K67" s="121">
        <f t="shared" si="25"/>
        <v>7466.3756551221595</v>
      </c>
      <c r="L67" s="121">
        <f t="shared" si="25"/>
        <v>10306.985461468052</v>
      </c>
      <c r="M67" s="121">
        <f t="shared" si="25"/>
        <v>12180.353518524105</v>
      </c>
      <c r="N67" s="122">
        <f t="shared" si="25"/>
        <v>13781.986154146842</v>
      </c>
      <c r="O67" s="121">
        <f t="shared" si="25"/>
        <v>15291.550820444914</v>
      </c>
      <c r="P67" s="121">
        <f t="shared" si="25"/>
        <v>15794.777751188711</v>
      </c>
      <c r="Q67" s="121">
        <f t="shared" si="25"/>
        <v>17153.578190263404</v>
      </c>
      <c r="R67" s="121">
        <f t="shared" si="25"/>
        <v>20922.627516471985</v>
      </c>
      <c r="S67" s="7"/>
      <c r="T67" s="136"/>
    </row>
    <row r="68" spans="1:20" ht="15" customHeight="1" x14ac:dyDescent="0.2">
      <c r="A68" s="30">
        <v>67</v>
      </c>
      <c r="B68" s="33"/>
      <c r="C68" s="52"/>
      <c r="D68" s="52"/>
      <c r="E68" s="78"/>
      <c r="F68" s="52"/>
      <c r="G68" s="49"/>
      <c r="H68" s="170"/>
      <c r="I68" s="171"/>
      <c r="J68" s="171"/>
      <c r="K68" s="171"/>
      <c r="L68" s="171"/>
      <c r="M68" s="171"/>
      <c r="N68" s="171"/>
      <c r="O68" s="171"/>
      <c r="P68" s="171"/>
      <c r="Q68" s="171"/>
      <c r="R68" s="171"/>
      <c r="S68" s="7"/>
      <c r="T68" s="136"/>
    </row>
    <row r="69" spans="1:20" ht="15" customHeight="1" x14ac:dyDescent="0.25">
      <c r="A69" s="30">
        <v>68</v>
      </c>
      <c r="B69" s="33"/>
      <c r="C69" s="52"/>
      <c r="D69" s="76" t="s">
        <v>91</v>
      </c>
      <c r="E69" s="78"/>
      <c r="F69" s="52"/>
      <c r="G69" s="49"/>
      <c r="H69" s="171"/>
      <c r="I69" s="171"/>
      <c r="J69" s="171"/>
      <c r="K69" s="171"/>
      <c r="L69" s="171"/>
      <c r="M69" s="171"/>
      <c r="N69" s="171"/>
      <c r="O69" s="171"/>
      <c r="P69" s="171"/>
      <c r="Q69" s="171"/>
      <c r="R69" s="171"/>
      <c r="S69" s="7"/>
      <c r="T69" s="136"/>
    </row>
    <row r="70" spans="1:20" ht="15" customHeight="1" x14ac:dyDescent="0.2">
      <c r="A70" s="30">
        <v>69</v>
      </c>
      <c r="B70" s="33"/>
      <c r="C70" s="52"/>
      <c r="D70" s="52"/>
      <c r="E70" s="78"/>
      <c r="F70" s="85" t="s">
        <v>589</v>
      </c>
      <c r="G70" s="49"/>
      <c r="H70" s="171"/>
      <c r="I70" s="171"/>
      <c r="J70" s="171"/>
      <c r="K70" s="171"/>
      <c r="L70" s="171"/>
      <c r="M70" s="171"/>
      <c r="N70" s="171"/>
      <c r="O70" s="171"/>
      <c r="P70" s="171"/>
      <c r="Q70" s="171"/>
      <c r="R70" s="171"/>
      <c r="S70" s="7"/>
      <c r="T70" s="136"/>
    </row>
    <row r="71" spans="1:20" ht="15" customHeight="1" x14ac:dyDescent="0.2">
      <c r="A71" s="30">
        <v>70</v>
      </c>
      <c r="B71" s="33"/>
      <c r="C71" s="52"/>
      <c r="D71" s="52"/>
      <c r="E71" s="78"/>
      <c r="F71" s="52"/>
      <c r="G71" s="49"/>
      <c r="H71" s="171"/>
      <c r="I71" s="171"/>
      <c r="J71" s="171"/>
      <c r="K71" s="171"/>
      <c r="L71" s="171"/>
      <c r="M71" s="171"/>
      <c r="N71" s="171"/>
      <c r="O71" s="171"/>
      <c r="P71" s="171"/>
      <c r="Q71" s="171"/>
      <c r="R71" s="171"/>
      <c r="S71" s="7"/>
      <c r="T71" s="136"/>
    </row>
    <row r="72" spans="1:20" x14ac:dyDescent="0.2">
      <c r="A72" s="30">
        <v>71</v>
      </c>
      <c r="B72" s="33"/>
      <c r="C72" s="52"/>
      <c r="D72" s="52"/>
      <c r="E72" s="49"/>
      <c r="F72" s="49"/>
      <c r="G72" s="49"/>
      <c r="H72" s="220" t="s">
        <v>40</v>
      </c>
      <c r="I72" s="49"/>
      <c r="J72" s="49"/>
      <c r="K72" s="49"/>
      <c r="L72" s="49"/>
      <c r="M72" s="49"/>
      <c r="N72" s="49"/>
      <c r="O72" s="49"/>
      <c r="P72" s="49"/>
      <c r="Q72" s="49"/>
      <c r="R72" s="84"/>
      <c r="S72" s="7"/>
      <c r="T72" s="137"/>
    </row>
    <row r="73" spans="1:20" ht="21" customHeight="1" x14ac:dyDescent="0.2">
      <c r="A73" s="30">
        <v>72</v>
      </c>
      <c r="B73" s="33"/>
      <c r="C73" s="49"/>
      <c r="D73" s="49"/>
      <c r="E73" s="49"/>
      <c r="F73" s="49"/>
      <c r="G73" s="49"/>
      <c r="H73" s="221"/>
      <c r="I73" s="21" t="s">
        <v>41</v>
      </c>
      <c r="J73" s="21" t="s">
        <v>42</v>
      </c>
      <c r="K73" s="21" t="s">
        <v>43</v>
      </c>
      <c r="L73" s="21" t="s">
        <v>44</v>
      </c>
      <c r="M73" s="21" t="s">
        <v>45</v>
      </c>
      <c r="N73" s="21"/>
      <c r="O73" s="21"/>
      <c r="P73" s="21"/>
      <c r="Q73" s="21"/>
      <c r="R73" s="21"/>
      <c r="S73" s="7"/>
      <c r="T73" s="136"/>
    </row>
    <row r="74" spans="1:20" ht="30" customHeight="1" x14ac:dyDescent="0.3">
      <c r="A74" s="30">
        <v>73</v>
      </c>
      <c r="B74" s="33"/>
      <c r="C74" s="71" t="s">
        <v>92</v>
      </c>
      <c r="D74" s="49"/>
      <c r="E74" s="49"/>
      <c r="F74" s="49"/>
      <c r="G74" s="144" t="str">
        <f>IF(ISNUMBER(#REF!),"for year ended","")</f>
        <v/>
      </c>
      <c r="H74" s="110" t="str">
        <f>IF(ISNUMBER(#REF!),DATE(YEAR(#REF!),MONTH(#REF!),DAY(#REF!))-1,"")</f>
        <v/>
      </c>
      <c r="I74" s="110" t="str">
        <f>IF(ISNUMBER(#REF!),DATE(YEAR(#REF!)+1,MONTH(#REF!),DAY(#REF!))-1,"")</f>
        <v/>
      </c>
      <c r="J74" s="110" t="str">
        <f>IF(ISNUMBER(#REF!),DATE(YEAR(#REF!)+2,MONTH(#REF!),DAY(#REF!))-1,"")</f>
        <v/>
      </c>
      <c r="K74" s="110" t="str">
        <f>IF(ISNUMBER(#REF!),DATE(YEAR(#REF!)+3,MONTH(#REF!),DAY(#REF!))-1,"")</f>
        <v/>
      </c>
      <c r="L74" s="110" t="str">
        <f>IF(ISNUMBER(#REF!),DATE(YEAR(#REF!)+4,MONTH(#REF!),DAY(#REF!))-1,"")</f>
        <v/>
      </c>
      <c r="M74" s="110" t="str">
        <f>IF(ISNUMBER(#REF!),DATE(YEAR(#REF!)+5,MONTH(#REF!),DAY(#REF!))-1,"")</f>
        <v/>
      </c>
      <c r="N74" s="86"/>
      <c r="O74" s="86"/>
      <c r="P74" s="86"/>
      <c r="Q74" s="86"/>
      <c r="R74" s="86"/>
      <c r="S74" s="7"/>
      <c r="T74" s="136"/>
    </row>
    <row r="75" spans="1:20" ht="15" customHeight="1" x14ac:dyDescent="0.2">
      <c r="A75" s="30">
        <v>74</v>
      </c>
      <c r="B75" s="33"/>
      <c r="C75" s="52"/>
      <c r="D75" s="52"/>
      <c r="E75" s="49"/>
      <c r="F75" s="85" t="s">
        <v>93</v>
      </c>
      <c r="G75" s="49"/>
      <c r="H75" s="102" t="s">
        <v>72</v>
      </c>
      <c r="I75" s="49"/>
      <c r="J75" s="49"/>
      <c r="K75" s="49"/>
      <c r="L75" s="49"/>
      <c r="M75" s="103"/>
      <c r="N75" s="49"/>
      <c r="O75" s="49"/>
      <c r="P75" s="49"/>
      <c r="Q75" s="49"/>
      <c r="R75" s="49"/>
      <c r="S75" s="7"/>
      <c r="T75" s="136"/>
    </row>
    <row r="76" spans="1:20" ht="15" customHeight="1" x14ac:dyDescent="0.2">
      <c r="A76" s="30">
        <v>75</v>
      </c>
      <c r="B76" s="33"/>
      <c r="C76" s="219"/>
      <c r="D76" s="219"/>
      <c r="E76" s="49"/>
      <c r="F76" s="133" t="s">
        <v>605</v>
      </c>
      <c r="G76" s="49"/>
      <c r="H76" s="120">
        <v>13670</v>
      </c>
      <c r="I76" s="120">
        <v>19911</v>
      </c>
      <c r="J76" s="120">
        <v>19911.000104096871</v>
      </c>
      <c r="K76" s="120">
        <v>19911</v>
      </c>
      <c r="L76" s="120">
        <v>19911</v>
      </c>
      <c r="M76" s="120">
        <v>19911</v>
      </c>
      <c r="N76" s="49"/>
      <c r="O76" s="49"/>
      <c r="P76" s="49"/>
      <c r="Q76" s="49"/>
      <c r="R76" s="49"/>
      <c r="S76" s="7"/>
      <c r="T76" s="136"/>
    </row>
    <row r="77" spans="1:20" ht="15" customHeight="1" x14ac:dyDescent="0.2">
      <c r="A77" s="30">
        <v>76</v>
      </c>
      <c r="B77" s="33"/>
      <c r="C77" s="219"/>
      <c r="D77" s="219"/>
      <c r="E77" s="49"/>
      <c r="F77" s="133"/>
      <c r="G77" s="49"/>
      <c r="H77" s="120"/>
      <c r="I77" s="120"/>
      <c r="J77" s="120"/>
      <c r="K77" s="120"/>
      <c r="L77" s="120"/>
      <c r="M77" s="120"/>
      <c r="N77" s="49"/>
      <c r="O77" s="49"/>
      <c r="P77" s="49"/>
      <c r="Q77" s="49"/>
      <c r="R77" s="49"/>
      <c r="S77" s="7"/>
      <c r="T77" s="136"/>
    </row>
    <row r="78" spans="1:20" ht="15" customHeight="1" x14ac:dyDescent="0.2">
      <c r="A78" s="30">
        <v>77</v>
      </c>
      <c r="B78" s="33"/>
      <c r="C78" s="219"/>
      <c r="D78" s="219"/>
      <c r="E78" s="49"/>
      <c r="F78" s="133"/>
      <c r="G78" s="49"/>
      <c r="H78" s="120"/>
      <c r="I78" s="120"/>
      <c r="J78" s="120"/>
      <c r="K78" s="120"/>
      <c r="L78" s="120"/>
      <c r="M78" s="120"/>
      <c r="N78" s="49"/>
      <c r="O78" s="49"/>
      <c r="P78" s="49"/>
      <c r="Q78" s="49"/>
      <c r="R78" s="49"/>
      <c r="S78" s="7"/>
      <c r="T78" s="136"/>
    </row>
    <row r="79" spans="1:20" ht="15" customHeight="1" x14ac:dyDescent="0.2">
      <c r="A79" s="30">
        <v>78</v>
      </c>
      <c r="B79" s="33"/>
      <c r="C79" s="219"/>
      <c r="D79" s="219"/>
      <c r="E79" s="49"/>
      <c r="F79" s="133"/>
      <c r="G79" s="49"/>
      <c r="H79" s="120"/>
      <c r="I79" s="120"/>
      <c r="J79" s="120"/>
      <c r="K79" s="120"/>
      <c r="L79" s="120"/>
      <c r="M79" s="120"/>
      <c r="N79" s="49"/>
      <c r="O79" s="49"/>
      <c r="P79" s="49"/>
      <c r="Q79" s="49"/>
      <c r="R79" s="49"/>
      <c r="S79" s="7"/>
      <c r="T79" s="136"/>
    </row>
    <row r="80" spans="1:20" ht="15" customHeight="1" x14ac:dyDescent="0.2">
      <c r="A80" s="30">
        <v>79</v>
      </c>
      <c r="B80" s="33"/>
      <c r="C80" s="219"/>
      <c r="D80" s="219"/>
      <c r="E80" s="49"/>
      <c r="F80" s="133"/>
      <c r="G80" s="49"/>
      <c r="H80" s="120"/>
      <c r="I80" s="120"/>
      <c r="J80" s="120"/>
      <c r="K80" s="120"/>
      <c r="L80" s="120"/>
      <c r="M80" s="120"/>
      <c r="N80" s="49"/>
      <c r="O80" s="49" t="s">
        <v>94</v>
      </c>
      <c r="P80" s="49"/>
      <c r="Q80" s="49"/>
      <c r="R80" s="49"/>
      <c r="S80" s="7"/>
      <c r="T80" s="136"/>
    </row>
    <row r="81" spans="1:20" s="6" customFormat="1" ht="15" customHeight="1" thickBot="1" x14ac:dyDescent="0.25">
      <c r="A81" s="30">
        <v>80</v>
      </c>
      <c r="B81" s="33"/>
      <c r="C81" s="52"/>
      <c r="D81" s="52"/>
      <c r="E81" s="83"/>
      <c r="F81" s="68" t="s">
        <v>95</v>
      </c>
      <c r="G81" s="83"/>
      <c r="H81" s="91"/>
      <c r="I81" s="91"/>
      <c r="J81" s="89"/>
      <c r="K81" s="89"/>
      <c r="L81" s="89"/>
      <c r="M81" s="91"/>
      <c r="N81" s="49"/>
      <c r="O81" s="50"/>
      <c r="P81" s="50"/>
      <c r="Q81" s="49"/>
      <c r="R81" s="49"/>
      <c r="S81" s="7"/>
      <c r="T81" s="136"/>
    </row>
    <row r="82" spans="1:20" ht="15" customHeight="1" thickBot="1" x14ac:dyDescent="0.25">
      <c r="A82" s="30">
        <v>81</v>
      </c>
      <c r="B82" s="33"/>
      <c r="C82" s="52"/>
      <c r="D82" s="52"/>
      <c r="E82" s="78" t="s">
        <v>96</v>
      </c>
      <c r="F82" s="78"/>
      <c r="G82" s="49"/>
      <c r="H82" s="121">
        <f t="shared" ref="H82:M82" si="26">SUM(H76:H80)</f>
        <v>13670</v>
      </c>
      <c r="I82" s="121">
        <f t="shared" si="26"/>
        <v>19911</v>
      </c>
      <c r="J82" s="121">
        <f t="shared" si="26"/>
        <v>19911.000104096871</v>
      </c>
      <c r="K82" s="121">
        <f t="shared" si="26"/>
        <v>19911</v>
      </c>
      <c r="L82" s="121">
        <f t="shared" si="26"/>
        <v>19911</v>
      </c>
      <c r="M82" s="121">
        <f t="shared" si="26"/>
        <v>19911</v>
      </c>
      <c r="N82" s="49"/>
      <c r="O82" s="49"/>
      <c r="P82" s="49"/>
      <c r="Q82" s="49"/>
      <c r="R82" s="49"/>
      <c r="S82" s="7"/>
      <c r="T82" s="136" t="s">
        <v>97</v>
      </c>
    </row>
    <row r="83" spans="1:20" ht="15" customHeight="1" thickBot="1" x14ac:dyDescent="0.25">
      <c r="A83" s="30">
        <v>82</v>
      </c>
      <c r="B83" s="33"/>
      <c r="C83" s="52"/>
      <c r="D83" s="80" t="s">
        <v>67</v>
      </c>
      <c r="E83" s="49"/>
      <c r="F83" s="52" t="s">
        <v>98</v>
      </c>
      <c r="G83" s="49"/>
      <c r="H83" s="120">
        <v>8497</v>
      </c>
      <c r="I83" s="120">
        <v>10464</v>
      </c>
      <c r="J83" s="120">
        <v>10413</v>
      </c>
      <c r="K83" s="120">
        <v>11061</v>
      </c>
      <c r="L83" s="120">
        <v>11947</v>
      </c>
      <c r="M83" s="120">
        <v>11947</v>
      </c>
      <c r="N83" s="49"/>
      <c r="O83" s="49"/>
      <c r="P83" s="49"/>
      <c r="Q83" s="49"/>
      <c r="R83" s="49"/>
      <c r="S83" s="7"/>
      <c r="T83" s="136"/>
    </row>
    <row r="84" spans="1:20" ht="15" customHeight="1" thickBot="1" x14ac:dyDescent="0.25">
      <c r="A84" s="30">
        <v>83</v>
      </c>
      <c r="B84" s="33"/>
      <c r="C84" s="52"/>
      <c r="D84" s="52"/>
      <c r="E84" s="78" t="s">
        <v>99</v>
      </c>
      <c r="F84" s="78"/>
      <c r="G84" s="49"/>
      <c r="H84" s="121">
        <f t="shared" ref="H84:M84" si="27">H82-H83</f>
        <v>5173</v>
      </c>
      <c r="I84" s="121">
        <f t="shared" si="27"/>
        <v>9447</v>
      </c>
      <c r="J84" s="121">
        <f t="shared" si="27"/>
        <v>9498.0001040968709</v>
      </c>
      <c r="K84" s="121">
        <f t="shared" si="27"/>
        <v>8850</v>
      </c>
      <c r="L84" s="121">
        <f t="shared" si="27"/>
        <v>7964</v>
      </c>
      <c r="M84" s="121">
        <f t="shared" si="27"/>
        <v>7964</v>
      </c>
      <c r="N84" s="49"/>
      <c r="O84" s="49"/>
      <c r="P84" s="49"/>
      <c r="Q84" s="49"/>
      <c r="R84" s="49"/>
      <c r="S84" s="7"/>
      <c r="T84" s="136"/>
    </row>
    <row r="85" spans="1:20" ht="30" customHeight="1" x14ac:dyDescent="0.3">
      <c r="A85" s="30">
        <v>84</v>
      </c>
      <c r="B85" s="33"/>
      <c r="C85" s="71" t="s">
        <v>100</v>
      </c>
      <c r="D85" s="49"/>
      <c r="E85" s="49"/>
      <c r="F85" s="49"/>
      <c r="G85" s="49"/>
      <c r="H85" s="86"/>
      <c r="I85" s="86"/>
      <c r="J85" s="86"/>
      <c r="K85" s="86"/>
      <c r="L85" s="86"/>
      <c r="M85" s="86"/>
      <c r="N85" s="86"/>
      <c r="O85" s="86"/>
      <c r="P85" s="86"/>
      <c r="Q85" s="86"/>
      <c r="R85" s="86"/>
      <c r="S85" s="7"/>
      <c r="T85" s="136"/>
    </row>
    <row r="86" spans="1:20" ht="15" customHeight="1" x14ac:dyDescent="0.2">
      <c r="A86" s="30">
        <v>85</v>
      </c>
      <c r="B86" s="33"/>
      <c r="C86" s="52"/>
      <c r="D86" s="52"/>
      <c r="E86" s="49"/>
      <c r="F86" s="52" t="s">
        <v>101</v>
      </c>
      <c r="G86" s="49"/>
      <c r="H86" s="120">
        <v>9478.8870000000006</v>
      </c>
      <c r="I86" s="120">
        <v>2570.5442187499998</v>
      </c>
      <c r="J86" s="120">
        <v>1686.3502187500001</v>
      </c>
      <c r="K86" s="120">
        <v>10174.804375</v>
      </c>
      <c r="L86" s="120">
        <v>17572.687000000002</v>
      </c>
      <c r="M86" s="120">
        <v>17521.240687500002</v>
      </c>
      <c r="N86" s="49"/>
      <c r="O86" s="49"/>
      <c r="P86" s="49"/>
      <c r="Q86" s="49"/>
      <c r="R86" s="49"/>
      <c r="S86" s="7"/>
      <c r="T86" s="136"/>
    </row>
    <row r="87" spans="1:20" ht="15" customHeight="1" x14ac:dyDescent="0.2">
      <c r="A87" s="30">
        <v>86</v>
      </c>
      <c r="B87" s="33"/>
      <c r="C87" s="52"/>
      <c r="D87" s="52"/>
      <c r="E87" s="49"/>
      <c r="F87" s="52" t="s">
        <v>102</v>
      </c>
      <c r="G87" s="49"/>
      <c r="H87" s="120">
        <v>10134.307000000001</v>
      </c>
      <c r="I87" s="120">
        <v>7504.7367999999997</v>
      </c>
      <c r="J87" s="120">
        <v>14314.5342</v>
      </c>
      <c r="K87" s="120">
        <v>5576.3234034999996</v>
      </c>
      <c r="L87" s="120">
        <v>6179.6243790000008</v>
      </c>
      <c r="M87" s="120">
        <v>5020.4337017500002</v>
      </c>
      <c r="N87" s="49"/>
      <c r="O87" s="49"/>
      <c r="P87" s="49"/>
      <c r="Q87" s="49"/>
      <c r="R87" s="49"/>
      <c r="S87" s="7"/>
      <c r="T87" s="136"/>
    </row>
    <row r="88" spans="1:20" ht="15" customHeight="1" x14ac:dyDescent="0.2">
      <c r="A88" s="30">
        <v>87</v>
      </c>
      <c r="B88" s="33"/>
      <c r="C88" s="52"/>
      <c r="D88" s="52"/>
      <c r="E88" s="49"/>
      <c r="F88" s="52" t="s">
        <v>103</v>
      </c>
      <c r="G88" s="49"/>
      <c r="H88" s="120">
        <v>945.12799999999993</v>
      </c>
      <c r="I88" s="120">
        <v>882.59999999999991</v>
      </c>
      <c r="J88" s="120">
        <v>1710.0200000000002</v>
      </c>
      <c r="K88" s="120">
        <v>7441.6747999999989</v>
      </c>
      <c r="L88" s="120">
        <v>5103.4101999999993</v>
      </c>
      <c r="M88" s="120">
        <v>1819.2449999999997</v>
      </c>
      <c r="N88" s="49"/>
      <c r="O88" s="49"/>
      <c r="P88" s="49"/>
      <c r="Q88" s="49"/>
      <c r="R88" s="49"/>
      <c r="S88" s="7"/>
      <c r="T88" s="136"/>
    </row>
    <row r="89" spans="1:20" ht="15" customHeight="1" x14ac:dyDescent="0.2">
      <c r="A89" s="30">
        <v>88</v>
      </c>
      <c r="B89" s="33"/>
      <c r="C89" s="52"/>
      <c r="D89" s="52"/>
      <c r="E89" s="49"/>
      <c r="F89" s="52" t="s">
        <v>104</v>
      </c>
      <c r="G89" s="49"/>
      <c r="H89" s="120">
        <v>527.47733999999991</v>
      </c>
      <c r="I89" s="120">
        <v>0</v>
      </c>
      <c r="J89" s="120">
        <v>1103.992</v>
      </c>
      <c r="K89" s="120">
        <v>2181.306</v>
      </c>
      <c r="L89" s="120">
        <v>1655.81</v>
      </c>
      <c r="M89" s="120">
        <v>1401.6949999999999</v>
      </c>
      <c r="N89" s="49"/>
      <c r="O89" s="49"/>
      <c r="P89" s="49"/>
      <c r="Q89" s="49"/>
      <c r="R89" s="49"/>
      <c r="S89" s="7"/>
      <c r="T89" s="136"/>
    </row>
    <row r="90" spans="1:20" ht="15" customHeight="1" x14ac:dyDescent="0.2">
      <c r="A90" s="30">
        <v>89</v>
      </c>
      <c r="B90" s="33"/>
      <c r="C90" s="52"/>
      <c r="D90" s="52"/>
      <c r="E90" s="49"/>
      <c r="F90" s="52" t="s">
        <v>105</v>
      </c>
      <c r="G90" s="49"/>
      <c r="H90" s="120">
        <v>0</v>
      </c>
      <c r="I90" s="120">
        <v>0</v>
      </c>
      <c r="J90" s="120">
        <v>0</v>
      </c>
      <c r="K90" s="120">
        <v>0</v>
      </c>
      <c r="L90" s="120">
        <v>0</v>
      </c>
      <c r="M90" s="120">
        <v>0</v>
      </c>
      <c r="N90" s="49"/>
      <c r="O90" s="49"/>
      <c r="P90" s="49"/>
      <c r="Q90" s="49"/>
      <c r="R90" s="49"/>
      <c r="S90" s="7"/>
      <c r="T90" s="136"/>
    </row>
    <row r="91" spans="1:20" ht="15" customHeight="1" x14ac:dyDescent="0.2">
      <c r="A91" s="30">
        <v>90</v>
      </c>
      <c r="B91" s="33"/>
      <c r="C91" s="52"/>
      <c r="D91" s="52"/>
      <c r="E91" s="49"/>
      <c r="F91" s="52" t="s">
        <v>106</v>
      </c>
      <c r="G91" s="49"/>
      <c r="H91" s="120">
        <v>953.85</v>
      </c>
      <c r="I91" s="120">
        <v>0</v>
      </c>
      <c r="J91" s="120">
        <v>0</v>
      </c>
      <c r="K91" s="120">
        <v>0</v>
      </c>
      <c r="L91" s="120">
        <v>0</v>
      </c>
      <c r="M91" s="120">
        <v>0</v>
      </c>
      <c r="N91" s="49"/>
      <c r="O91" s="49"/>
      <c r="P91" s="49"/>
      <c r="Q91" s="49"/>
      <c r="R91" s="49"/>
      <c r="S91" s="7"/>
      <c r="T91" s="136"/>
    </row>
    <row r="92" spans="1:20" ht="15" customHeight="1" thickBot="1" x14ac:dyDescent="0.25">
      <c r="A92" s="30">
        <v>91</v>
      </c>
      <c r="B92" s="33"/>
      <c r="C92" s="52"/>
      <c r="D92" s="52"/>
      <c r="E92" s="49"/>
      <c r="F92" s="52" t="s">
        <v>107</v>
      </c>
      <c r="G92" s="49"/>
      <c r="H92" s="120">
        <v>0</v>
      </c>
      <c r="I92" s="120">
        <v>0</v>
      </c>
      <c r="J92" s="120">
        <v>0</v>
      </c>
      <c r="K92" s="120">
        <v>0</v>
      </c>
      <c r="L92" s="120">
        <v>0</v>
      </c>
      <c r="M92" s="120">
        <v>0</v>
      </c>
      <c r="N92" s="49"/>
      <c r="O92" s="49"/>
      <c r="P92" s="49"/>
      <c r="Q92" s="49"/>
      <c r="R92" s="49"/>
      <c r="S92" s="7"/>
      <c r="T92" s="136"/>
    </row>
    <row r="93" spans="1:20" ht="15" customHeight="1" thickBot="1" x14ac:dyDescent="0.25">
      <c r="A93" s="30">
        <v>92</v>
      </c>
      <c r="B93" s="33"/>
      <c r="C93" s="52"/>
      <c r="D93" s="52"/>
      <c r="E93" s="78" t="s">
        <v>108</v>
      </c>
      <c r="F93" s="52"/>
      <c r="G93" s="49"/>
      <c r="H93" s="121">
        <f t="shared" ref="H93:M93" si="28">SUM(H86:H92)</f>
        <v>22039.649340000004</v>
      </c>
      <c r="I93" s="121">
        <f t="shared" si="28"/>
        <v>10957.88101875</v>
      </c>
      <c r="J93" s="121">
        <f t="shared" si="28"/>
        <v>18814.896418749999</v>
      </c>
      <c r="K93" s="121">
        <f t="shared" si="28"/>
        <v>25374.1085785</v>
      </c>
      <c r="L93" s="121">
        <f t="shared" si="28"/>
        <v>30511.531579000002</v>
      </c>
      <c r="M93" s="121">
        <f t="shared" si="28"/>
        <v>25762.61438925</v>
      </c>
      <c r="N93" s="49"/>
      <c r="O93" s="49"/>
      <c r="P93" s="49"/>
      <c r="Q93" s="49"/>
      <c r="R93" s="49"/>
      <c r="S93" s="7"/>
      <c r="T93" s="136" t="s">
        <v>109</v>
      </c>
    </row>
    <row r="94" spans="1:20" ht="15" customHeight="1" thickBot="1" x14ac:dyDescent="0.25">
      <c r="A94" s="30">
        <v>93</v>
      </c>
      <c r="B94" s="33"/>
      <c r="C94" s="52"/>
      <c r="D94" s="80" t="s">
        <v>67</v>
      </c>
      <c r="E94" s="49"/>
      <c r="F94" s="52" t="s">
        <v>110</v>
      </c>
      <c r="G94" s="49"/>
      <c r="H94" s="120"/>
      <c r="I94" s="120"/>
      <c r="J94" s="120"/>
      <c r="K94" s="120"/>
      <c r="L94" s="120"/>
      <c r="M94" s="120"/>
      <c r="N94" s="49"/>
      <c r="O94" s="49"/>
      <c r="P94" s="49"/>
      <c r="Q94" s="49"/>
      <c r="R94" s="49"/>
      <c r="S94" s="7"/>
      <c r="T94" s="136"/>
    </row>
    <row r="95" spans="1:20" ht="15" customHeight="1" thickBot="1" x14ac:dyDescent="0.25">
      <c r="A95" s="30">
        <v>94</v>
      </c>
      <c r="B95" s="33"/>
      <c r="C95" s="52"/>
      <c r="D95" s="52"/>
      <c r="E95" s="78" t="s">
        <v>111</v>
      </c>
      <c r="F95" s="78"/>
      <c r="G95" s="49"/>
      <c r="H95" s="121">
        <f t="shared" ref="H95:M95" si="29">H93-H94</f>
        <v>22039.649340000004</v>
      </c>
      <c r="I95" s="121">
        <f t="shared" si="29"/>
        <v>10957.88101875</v>
      </c>
      <c r="J95" s="121">
        <f t="shared" si="29"/>
        <v>18814.896418749999</v>
      </c>
      <c r="K95" s="121">
        <f t="shared" si="29"/>
        <v>25374.1085785</v>
      </c>
      <c r="L95" s="121">
        <f t="shared" si="29"/>
        <v>30511.531579000002</v>
      </c>
      <c r="M95" s="121">
        <f t="shared" si="29"/>
        <v>25762.61438925</v>
      </c>
      <c r="N95" s="49"/>
      <c r="O95" s="49"/>
      <c r="P95" s="49"/>
      <c r="Q95" s="49"/>
      <c r="R95" s="49"/>
      <c r="S95" s="7"/>
      <c r="T95" s="136"/>
    </row>
    <row r="96" spans="1:20" ht="15" customHeight="1" x14ac:dyDescent="0.2">
      <c r="A96" s="30">
        <v>95</v>
      </c>
      <c r="B96" s="33"/>
      <c r="C96" s="52"/>
      <c r="D96" s="52"/>
      <c r="E96" s="78"/>
      <c r="F96" s="78"/>
      <c r="G96" s="49"/>
      <c r="H96" s="97"/>
      <c r="I96" s="97"/>
      <c r="J96" s="97"/>
      <c r="K96" s="97"/>
      <c r="L96" s="97"/>
      <c r="M96" s="97"/>
      <c r="N96" s="49"/>
      <c r="O96" s="49"/>
      <c r="P96" s="49"/>
      <c r="Q96" s="49"/>
      <c r="R96" s="49"/>
      <c r="S96" s="7"/>
      <c r="T96" s="136"/>
    </row>
    <row r="97" spans="1:20" ht="30" customHeight="1" x14ac:dyDescent="0.25">
      <c r="A97" s="30">
        <v>96</v>
      </c>
      <c r="B97" s="69"/>
      <c r="C97" s="49"/>
      <c r="D97" s="49"/>
      <c r="E97" s="49"/>
      <c r="F97" s="49"/>
      <c r="G97" s="86"/>
      <c r="H97" s="21" t="s">
        <v>40</v>
      </c>
      <c r="I97" s="21" t="s">
        <v>41</v>
      </c>
      <c r="J97" s="21" t="s">
        <v>42</v>
      </c>
      <c r="K97" s="21" t="s">
        <v>43</v>
      </c>
      <c r="L97" s="21" t="s">
        <v>44</v>
      </c>
      <c r="M97" s="21" t="s">
        <v>45</v>
      </c>
      <c r="N97" s="14"/>
      <c r="O97" s="49"/>
      <c r="P97" s="49"/>
      <c r="Q97" s="49"/>
      <c r="R97" s="49"/>
      <c r="S97" s="7"/>
      <c r="T97" s="136"/>
    </row>
    <row r="98" spans="1:20" ht="15" customHeight="1" x14ac:dyDescent="0.25">
      <c r="A98" s="30">
        <v>97</v>
      </c>
      <c r="B98" s="69"/>
      <c r="C98" s="49"/>
      <c r="D98" s="49"/>
      <c r="E98" s="49"/>
      <c r="F98" s="49"/>
      <c r="G98" s="143" t="str">
        <f>IF(ISNUMBER(#REF!),"for year ended","")</f>
        <v/>
      </c>
      <c r="H98" s="101" t="str">
        <f>IF(ISNUMBER(#REF!),DATE(YEAR(#REF!),MONTH(#REF!),DAY(#REF!))-1,"")</f>
        <v/>
      </c>
      <c r="I98" s="101" t="str">
        <f>IF(ISNUMBER(#REF!),DATE(YEAR(#REF!)+1,MONTH(#REF!),DAY(#REF!))-1,"")</f>
        <v/>
      </c>
      <c r="J98" s="101" t="str">
        <f>IF(ISNUMBER(#REF!),DATE(YEAR(#REF!)+2,MONTH(#REF!),DAY(#REF!))-1,"")</f>
        <v/>
      </c>
      <c r="K98" s="101" t="str">
        <f>IF(ISNUMBER(#REF!),DATE(YEAR(#REF!)+3,MONTH(#REF!),DAY(#REF!))-1,"")</f>
        <v/>
      </c>
      <c r="L98" s="101" t="str">
        <f>IF(ISNUMBER(#REF!),DATE(YEAR(#REF!)+4,MONTH(#REF!),DAY(#REF!))-1,"")</f>
        <v/>
      </c>
      <c r="M98" s="101" t="str">
        <f>IF(ISNUMBER(#REF!),DATE(YEAR(#REF!)+5,MONTH(#REF!),DAY(#REF!))-1,"")</f>
        <v/>
      </c>
      <c r="N98" s="14"/>
      <c r="O98" s="49"/>
      <c r="P98" s="49"/>
      <c r="Q98" s="49"/>
      <c r="R98" s="49"/>
      <c r="S98" s="7"/>
      <c r="T98" s="136"/>
    </row>
    <row r="99" spans="1:20" ht="30" customHeight="1" x14ac:dyDescent="0.3">
      <c r="A99" s="30">
        <v>98</v>
      </c>
      <c r="B99" s="33"/>
      <c r="C99" s="71" t="s">
        <v>112</v>
      </c>
      <c r="D99" s="49"/>
      <c r="E99" s="78"/>
      <c r="F99" s="49"/>
      <c r="G99" s="49"/>
      <c r="H99" s="95" t="s">
        <v>72</v>
      </c>
      <c r="I99" s="49"/>
      <c r="J99" s="49"/>
      <c r="K99" s="49"/>
      <c r="L99" s="49"/>
      <c r="M99" s="103"/>
      <c r="N99" s="14"/>
      <c r="O99" s="14"/>
      <c r="P99" s="14"/>
      <c r="Q99" s="14"/>
      <c r="R99" s="14"/>
      <c r="S99" s="7"/>
      <c r="T99" s="136"/>
    </row>
    <row r="100" spans="1:20" ht="15" customHeight="1" x14ac:dyDescent="0.2">
      <c r="A100" s="30">
        <v>99</v>
      </c>
      <c r="B100" s="33"/>
      <c r="C100" s="52"/>
      <c r="D100" s="52"/>
      <c r="E100" s="78"/>
      <c r="F100" s="52" t="s">
        <v>101</v>
      </c>
      <c r="G100" s="49"/>
      <c r="H100" s="120">
        <v>1180</v>
      </c>
      <c r="I100" s="120">
        <v>4600</v>
      </c>
      <c r="J100" s="120">
        <v>3064.4279999999999</v>
      </c>
      <c r="K100" s="120">
        <v>5164.4279999999999</v>
      </c>
      <c r="L100" s="120">
        <v>8564.4279999999999</v>
      </c>
      <c r="M100" s="120">
        <v>8564.4279999999999</v>
      </c>
      <c r="N100" s="49"/>
      <c r="O100" s="49"/>
      <c r="P100" s="49"/>
      <c r="Q100" s="49"/>
      <c r="R100" s="49"/>
      <c r="S100" s="7"/>
      <c r="T100" s="136"/>
    </row>
    <row r="101" spans="1:20" ht="15" customHeight="1" x14ac:dyDescent="0.2">
      <c r="A101" s="30">
        <v>100</v>
      </c>
      <c r="B101" s="33"/>
      <c r="C101" s="52"/>
      <c r="D101" s="52"/>
      <c r="E101" s="78"/>
      <c r="F101" s="52" t="s">
        <v>102</v>
      </c>
      <c r="G101" s="49"/>
      <c r="H101" s="120">
        <v>10673.429</v>
      </c>
      <c r="I101" s="120">
        <v>17736.329449999997</v>
      </c>
      <c r="J101" s="120">
        <v>2157.6787000000004</v>
      </c>
      <c r="K101" s="120">
        <v>4133.9017000000003</v>
      </c>
      <c r="L101" s="120">
        <v>4059.6291000000001</v>
      </c>
      <c r="M101" s="120">
        <v>7297.5690000000004</v>
      </c>
      <c r="N101" s="49"/>
      <c r="O101" s="49"/>
      <c r="P101" s="49"/>
      <c r="Q101" s="49"/>
      <c r="R101" s="49"/>
      <c r="S101" s="7"/>
      <c r="T101" s="136"/>
    </row>
    <row r="102" spans="1:20" ht="15" customHeight="1" x14ac:dyDescent="0.2">
      <c r="A102" s="30">
        <v>101</v>
      </c>
      <c r="B102" s="33"/>
      <c r="C102" s="52"/>
      <c r="D102" s="52"/>
      <c r="E102" s="78"/>
      <c r="F102" s="52" t="s">
        <v>103</v>
      </c>
      <c r="G102" s="49"/>
      <c r="H102" s="120">
        <v>9754.7440000000006</v>
      </c>
      <c r="I102" s="120">
        <v>6983.0950000000003</v>
      </c>
      <c r="J102" s="120">
        <v>5945.5429999999997</v>
      </c>
      <c r="K102" s="120">
        <v>8634.48</v>
      </c>
      <c r="L102" s="120">
        <v>8506.48</v>
      </c>
      <c r="M102" s="120">
        <v>8490.48</v>
      </c>
      <c r="N102" s="49"/>
      <c r="O102" s="49"/>
      <c r="P102" s="49"/>
      <c r="Q102" s="49"/>
      <c r="R102" s="49"/>
      <c r="S102" s="7"/>
      <c r="T102" s="136"/>
    </row>
    <row r="103" spans="1:20" ht="15" customHeight="1" x14ac:dyDescent="0.2">
      <c r="A103" s="30">
        <v>102</v>
      </c>
      <c r="B103" s="33"/>
      <c r="C103" s="52"/>
      <c r="D103" s="52"/>
      <c r="E103" s="78"/>
      <c r="F103" s="52" t="s">
        <v>104</v>
      </c>
      <c r="G103" s="49"/>
      <c r="H103" s="120">
        <v>2878.107</v>
      </c>
      <c r="I103" s="120">
        <v>1092</v>
      </c>
      <c r="J103" s="120">
        <v>2457</v>
      </c>
      <c r="K103" s="120">
        <v>2457</v>
      </c>
      <c r="L103" s="120">
        <v>2457</v>
      </c>
      <c r="M103" s="120">
        <v>2457</v>
      </c>
      <c r="N103" s="49"/>
      <c r="O103" s="49"/>
      <c r="P103" s="49"/>
      <c r="Q103" s="49"/>
      <c r="R103" s="49"/>
      <c r="S103" s="7"/>
      <c r="T103" s="136"/>
    </row>
    <row r="104" spans="1:20" ht="15" customHeight="1" x14ac:dyDescent="0.2">
      <c r="A104" s="30">
        <v>103</v>
      </c>
      <c r="B104" s="33"/>
      <c r="C104" s="52"/>
      <c r="D104" s="52"/>
      <c r="E104" s="78"/>
      <c r="F104" s="52" t="s">
        <v>105</v>
      </c>
      <c r="G104" s="49"/>
      <c r="H104" s="120">
        <v>701.822</v>
      </c>
      <c r="I104" s="120">
        <v>1677.25</v>
      </c>
      <c r="J104" s="120">
        <v>1666.8700000000003</v>
      </c>
      <c r="K104" s="120">
        <v>1106.6400000000001</v>
      </c>
      <c r="L104" s="120">
        <v>1423.6600000000003</v>
      </c>
      <c r="M104" s="120">
        <v>1780.1700000000003</v>
      </c>
      <c r="N104" s="49"/>
      <c r="O104" s="49"/>
      <c r="P104" s="49"/>
      <c r="Q104" s="49"/>
      <c r="R104" s="49"/>
      <c r="S104" s="7"/>
      <c r="T104" s="136"/>
    </row>
    <row r="105" spans="1:20" ht="15" customHeight="1" x14ac:dyDescent="0.2">
      <c r="A105" s="30">
        <v>104</v>
      </c>
      <c r="B105" s="33"/>
      <c r="C105" s="52"/>
      <c r="D105" s="52"/>
      <c r="E105" s="78"/>
      <c r="F105" s="52" t="s">
        <v>106</v>
      </c>
      <c r="G105" s="49"/>
      <c r="H105" s="120">
        <v>4248.3900000000003</v>
      </c>
      <c r="I105" s="120">
        <v>8808.8819499999991</v>
      </c>
      <c r="J105" s="120">
        <v>9600.8819499999991</v>
      </c>
      <c r="K105" s="120">
        <v>9815.3819499999991</v>
      </c>
      <c r="L105" s="120">
        <v>9936.3819499999991</v>
      </c>
      <c r="M105" s="120">
        <v>10040.881949999999</v>
      </c>
      <c r="N105" s="49"/>
      <c r="O105" s="49"/>
      <c r="P105" s="49"/>
      <c r="Q105" s="49"/>
      <c r="R105" s="49"/>
      <c r="S105" s="7"/>
      <c r="T105" s="136"/>
    </row>
    <row r="106" spans="1:20" ht="15" customHeight="1" thickBot="1" x14ac:dyDescent="0.25">
      <c r="A106" s="30">
        <v>105</v>
      </c>
      <c r="B106" s="33"/>
      <c r="C106" s="52"/>
      <c r="D106" s="52"/>
      <c r="E106" s="78"/>
      <c r="F106" s="52" t="s">
        <v>107</v>
      </c>
      <c r="G106" s="49"/>
      <c r="H106" s="120">
        <v>23849.383000000002</v>
      </c>
      <c r="I106" s="120">
        <v>15371.026005</v>
      </c>
      <c r="J106" s="120">
        <v>15938.83439</v>
      </c>
      <c r="K106" s="120">
        <v>14727.168370000001</v>
      </c>
      <c r="L106" s="120">
        <v>16850.640504999999</v>
      </c>
      <c r="M106" s="120">
        <v>15123.943009999999</v>
      </c>
      <c r="N106" s="49"/>
      <c r="O106" s="49"/>
      <c r="P106" s="49"/>
      <c r="Q106" s="49"/>
      <c r="R106" s="49"/>
      <c r="S106" s="7"/>
      <c r="T106" s="136"/>
    </row>
    <row r="107" spans="1:20" ht="15" customHeight="1" thickBot="1" x14ac:dyDescent="0.25">
      <c r="A107" s="30">
        <v>106</v>
      </c>
      <c r="B107" s="33"/>
      <c r="C107" s="52"/>
      <c r="D107" s="52"/>
      <c r="E107" s="78" t="s">
        <v>113</v>
      </c>
      <c r="F107" s="52"/>
      <c r="G107" s="49"/>
      <c r="H107" s="121">
        <f t="shared" ref="H107:M107" si="30">SUM(H100:H106)</f>
        <v>53285.875</v>
      </c>
      <c r="I107" s="121">
        <f t="shared" si="30"/>
        <v>56268.582405000001</v>
      </c>
      <c r="J107" s="121">
        <f t="shared" si="30"/>
        <v>40831.236040000003</v>
      </c>
      <c r="K107" s="121">
        <f t="shared" si="30"/>
        <v>46039.000019999999</v>
      </c>
      <c r="L107" s="121">
        <f t="shared" si="30"/>
        <v>51798.219555000003</v>
      </c>
      <c r="M107" s="121">
        <f t="shared" si="30"/>
        <v>53754.471959999995</v>
      </c>
      <c r="N107" s="49"/>
      <c r="O107" s="49"/>
      <c r="P107" s="49"/>
      <c r="Q107" s="49"/>
      <c r="R107" s="49"/>
      <c r="S107" s="7"/>
      <c r="T107" s="136" t="s">
        <v>114</v>
      </c>
    </row>
    <row r="108" spans="1:20" ht="15" customHeight="1" thickBot="1" x14ac:dyDescent="0.25">
      <c r="A108" s="30">
        <v>107</v>
      </c>
      <c r="B108" s="33"/>
      <c r="C108" s="52"/>
      <c r="D108" s="80" t="s">
        <v>67</v>
      </c>
      <c r="E108" s="49"/>
      <c r="F108" s="52" t="s">
        <v>115</v>
      </c>
      <c r="G108" s="49"/>
      <c r="H108" s="120"/>
      <c r="I108" s="120"/>
      <c r="J108" s="120"/>
      <c r="K108" s="120"/>
      <c r="L108" s="120"/>
      <c r="M108" s="120"/>
      <c r="N108" s="49"/>
      <c r="O108" s="49"/>
      <c r="P108" s="49"/>
      <c r="Q108" s="49"/>
      <c r="R108" s="49"/>
      <c r="S108" s="7"/>
      <c r="T108" s="136"/>
    </row>
    <row r="109" spans="1:20" ht="15" customHeight="1" thickBot="1" x14ac:dyDescent="0.25">
      <c r="A109" s="30">
        <v>108</v>
      </c>
      <c r="B109" s="33"/>
      <c r="C109" s="52"/>
      <c r="D109" s="52"/>
      <c r="E109" s="78" t="s">
        <v>116</v>
      </c>
      <c r="F109" s="78"/>
      <c r="G109" s="49"/>
      <c r="H109" s="121">
        <f t="shared" ref="H109:M109" si="31">H107-H108</f>
        <v>53285.875</v>
      </c>
      <c r="I109" s="121">
        <f t="shared" si="31"/>
        <v>56268.582405000001</v>
      </c>
      <c r="J109" s="121">
        <f t="shared" si="31"/>
        <v>40831.236040000003</v>
      </c>
      <c r="K109" s="121">
        <f t="shared" si="31"/>
        <v>46039.000019999999</v>
      </c>
      <c r="L109" s="121">
        <f t="shared" si="31"/>
        <v>51798.219555000003</v>
      </c>
      <c r="M109" s="121">
        <f t="shared" si="31"/>
        <v>53754.471959999995</v>
      </c>
      <c r="N109" s="49"/>
      <c r="O109" s="49"/>
      <c r="P109" s="49"/>
      <c r="Q109" s="49"/>
      <c r="R109" s="49"/>
      <c r="S109" s="7"/>
      <c r="T109" s="136"/>
    </row>
    <row r="110" spans="1:20" ht="15" customHeight="1" x14ac:dyDescent="0.2">
      <c r="A110" s="30">
        <v>109</v>
      </c>
      <c r="B110" s="33"/>
      <c r="C110" s="52"/>
      <c r="D110" s="52"/>
      <c r="E110" s="78"/>
      <c r="F110" s="78"/>
      <c r="G110" s="49"/>
      <c r="H110" s="97"/>
      <c r="I110" s="97"/>
      <c r="J110" s="97"/>
      <c r="K110" s="97"/>
      <c r="L110" s="97"/>
      <c r="M110" s="97"/>
      <c r="N110" s="49"/>
      <c r="O110" s="49"/>
      <c r="P110" s="49"/>
      <c r="Q110" s="49"/>
      <c r="R110" s="49"/>
      <c r="S110" s="7"/>
      <c r="T110" s="136"/>
    </row>
    <row r="111" spans="1:20" ht="30" customHeight="1" x14ac:dyDescent="0.25">
      <c r="A111" s="30">
        <v>110</v>
      </c>
      <c r="B111" s="69"/>
      <c r="C111" s="49"/>
      <c r="D111" s="49"/>
      <c r="E111" s="49"/>
      <c r="F111" s="49"/>
      <c r="G111" s="86"/>
      <c r="H111" s="21" t="s">
        <v>40</v>
      </c>
      <c r="I111" s="21" t="s">
        <v>41</v>
      </c>
      <c r="J111" s="21" t="s">
        <v>42</v>
      </c>
      <c r="K111" s="21" t="s">
        <v>43</v>
      </c>
      <c r="L111" s="21" t="s">
        <v>44</v>
      </c>
      <c r="M111" s="21" t="s">
        <v>45</v>
      </c>
      <c r="N111" s="14"/>
      <c r="O111" s="49"/>
      <c r="P111" s="49"/>
      <c r="Q111" s="49"/>
      <c r="R111" s="49"/>
      <c r="S111" s="7"/>
      <c r="T111" s="136"/>
    </row>
    <row r="112" spans="1:20" ht="15" customHeight="1" x14ac:dyDescent="0.25">
      <c r="A112" s="30">
        <v>111</v>
      </c>
      <c r="B112" s="69"/>
      <c r="C112" s="49"/>
      <c r="D112" s="49"/>
      <c r="E112" s="49"/>
      <c r="F112" s="49"/>
      <c r="G112" s="143" t="str">
        <f>IF(ISNUMBER(#REF!),"for year ended","")</f>
        <v/>
      </c>
      <c r="H112" s="101" t="str">
        <f>IF(ISNUMBER(#REF!),DATE(YEAR(#REF!),MONTH(#REF!),DAY(#REF!))-1,"")</f>
        <v/>
      </c>
      <c r="I112" s="101" t="str">
        <f>IF(ISNUMBER(#REF!),DATE(YEAR(#REF!)+1,MONTH(#REF!),DAY(#REF!))-1,"")</f>
        <v/>
      </c>
      <c r="J112" s="101" t="str">
        <f>IF(ISNUMBER(#REF!),DATE(YEAR(#REF!)+2,MONTH(#REF!),DAY(#REF!))-1,"")</f>
        <v/>
      </c>
      <c r="K112" s="101" t="str">
        <f>IF(ISNUMBER(#REF!),DATE(YEAR(#REF!)+3,MONTH(#REF!),DAY(#REF!))-1,"")</f>
        <v/>
      </c>
      <c r="L112" s="101" t="str">
        <f>IF(ISNUMBER(#REF!),DATE(YEAR(#REF!)+4,MONTH(#REF!),DAY(#REF!))-1,"")</f>
        <v/>
      </c>
      <c r="M112" s="101" t="str">
        <f>IF(ISNUMBER(#REF!),DATE(YEAR(#REF!)+5,MONTH(#REF!),DAY(#REF!))-1,"")</f>
        <v/>
      </c>
      <c r="N112" s="14"/>
      <c r="O112" s="49"/>
      <c r="P112" s="49"/>
      <c r="Q112" s="49"/>
      <c r="R112" s="49"/>
      <c r="S112" s="7"/>
      <c r="T112" s="136"/>
    </row>
    <row r="113" spans="1:20" ht="30" customHeight="1" x14ac:dyDescent="0.3">
      <c r="A113" s="30">
        <v>112</v>
      </c>
      <c r="B113" s="33"/>
      <c r="C113" s="71" t="s">
        <v>117</v>
      </c>
      <c r="D113" s="49"/>
      <c r="E113" s="78"/>
      <c r="F113" s="49"/>
      <c r="G113" s="49"/>
      <c r="H113" s="86"/>
      <c r="I113" s="86"/>
      <c r="J113" s="86"/>
      <c r="K113" s="86"/>
      <c r="L113" s="86"/>
      <c r="M113" s="86"/>
      <c r="N113" s="14"/>
      <c r="O113" s="14"/>
      <c r="P113" s="14"/>
      <c r="Q113" s="14"/>
      <c r="R113" s="14"/>
      <c r="S113" s="7"/>
      <c r="T113" s="136"/>
    </row>
    <row r="114" spans="1:20" x14ac:dyDescent="0.2">
      <c r="A114" s="30">
        <v>113</v>
      </c>
      <c r="B114" s="33"/>
      <c r="C114" s="52"/>
      <c r="D114" s="52"/>
      <c r="E114" s="49"/>
      <c r="F114" s="85" t="s">
        <v>118</v>
      </c>
      <c r="G114" s="49"/>
      <c r="H114" s="95" t="s">
        <v>72</v>
      </c>
      <c r="I114" s="49"/>
      <c r="J114" s="49"/>
      <c r="K114" s="49"/>
      <c r="L114" s="49"/>
      <c r="M114" s="49"/>
      <c r="N114" s="49"/>
      <c r="O114" s="49"/>
      <c r="P114" s="49"/>
      <c r="Q114" s="49"/>
      <c r="R114" s="49"/>
      <c r="S114" s="7"/>
      <c r="T114" s="136"/>
    </row>
    <row r="115" spans="1:20" ht="15" customHeight="1" x14ac:dyDescent="0.2">
      <c r="A115" s="30">
        <v>114</v>
      </c>
      <c r="B115" s="33"/>
      <c r="C115" s="52"/>
      <c r="D115" s="52"/>
      <c r="E115" s="49"/>
      <c r="F115" s="133" t="s">
        <v>606</v>
      </c>
      <c r="G115" s="49"/>
      <c r="H115" s="120">
        <v>4484</v>
      </c>
      <c r="I115" s="120">
        <v>2132</v>
      </c>
      <c r="J115" s="120">
        <v>2132</v>
      </c>
      <c r="K115" s="120">
        <v>2132</v>
      </c>
      <c r="L115" s="120">
        <v>2132</v>
      </c>
      <c r="M115" s="120">
        <v>2132</v>
      </c>
      <c r="N115" s="49"/>
      <c r="O115" s="49"/>
      <c r="P115" s="49"/>
      <c r="Q115" s="49"/>
      <c r="R115" s="49"/>
      <c r="S115" s="7"/>
      <c r="T115" s="136"/>
    </row>
    <row r="116" spans="1:20" ht="15" customHeight="1" x14ac:dyDescent="0.2">
      <c r="A116" s="30">
        <v>115</v>
      </c>
      <c r="B116" s="33"/>
      <c r="C116" s="52"/>
      <c r="D116" s="52"/>
      <c r="E116" s="49"/>
      <c r="F116" s="133"/>
      <c r="G116" s="49"/>
      <c r="H116" s="120"/>
      <c r="I116" s="120"/>
      <c r="J116" s="120"/>
      <c r="K116" s="120"/>
      <c r="L116" s="120"/>
      <c r="M116" s="120"/>
      <c r="N116" s="49"/>
      <c r="O116" s="49"/>
      <c r="P116" s="49"/>
      <c r="Q116" s="49"/>
      <c r="R116" s="49"/>
      <c r="S116" s="7"/>
      <c r="T116" s="136"/>
    </row>
    <row r="117" spans="1:20" ht="15" customHeight="1" x14ac:dyDescent="0.2">
      <c r="A117" s="30">
        <v>116</v>
      </c>
      <c r="B117" s="33"/>
      <c r="C117" s="52"/>
      <c r="D117" s="52"/>
      <c r="E117" s="49"/>
      <c r="F117" s="133"/>
      <c r="G117" s="49"/>
      <c r="H117" s="120"/>
      <c r="I117" s="120"/>
      <c r="J117" s="120"/>
      <c r="K117" s="120"/>
      <c r="L117" s="120"/>
      <c r="M117" s="120"/>
      <c r="N117" s="49"/>
      <c r="O117" s="49"/>
      <c r="P117" s="49"/>
      <c r="Q117" s="49"/>
      <c r="R117" s="49"/>
      <c r="S117" s="7"/>
      <c r="T117" s="136"/>
    </row>
    <row r="118" spans="1:20" ht="15" customHeight="1" x14ac:dyDescent="0.2">
      <c r="A118" s="30">
        <v>117</v>
      </c>
      <c r="B118" s="33"/>
      <c r="C118" s="52"/>
      <c r="D118" s="52"/>
      <c r="E118" s="49"/>
      <c r="F118" s="133"/>
      <c r="G118" s="49"/>
      <c r="H118" s="120"/>
      <c r="I118" s="120"/>
      <c r="J118" s="120"/>
      <c r="K118" s="120"/>
      <c r="L118" s="120"/>
      <c r="M118" s="120"/>
      <c r="N118" s="49"/>
      <c r="O118" s="49"/>
      <c r="P118" s="49"/>
      <c r="Q118" s="49"/>
      <c r="R118" s="49"/>
      <c r="S118" s="7"/>
      <c r="T118" s="136"/>
    </row>
    <row r="119" spans="1:20" ht="15" customHeight="1" x14ac:dyDescent="0.2">
      <c r="A119" s="30">
        <v>118</v>
      </c>
      <c r="B119" s="33"/>
      <c r="C119" s="52"/>
      <c r="D119" s="52"/>
      <c r="E119" s="49"/>
      <c r="F119" s="133"/>
      <c r="G119" s="49"/>
      <c r="H119" s="120"/>
      <c r="I119" s="120"/>
      <c r="J119" s="120"/>
      <c r="K119" s="120"/>
      <c r="L119" s="120"/>
      <c r="M119" s="120"/>
      <c r="N119" s="49"/>
      <c r="O119" s="49"/>
      <c r="P119" s="49"/>
      <c r="Q119" s="49"/>
      <c r="R119" s="49"/>
      <c r="S119" s="7"/>
      <c r="T119" s="136"/>
    </row>
    <row r="120" spans="1:20" s="6" customFormat="1" ht="15" customHeight="1" x14ac:dyDescent="0.2">
      <c r="A120" s="30">
        <v>119</v>
      </c>
      <c r="B120" s="33"/>
      <c r="C120" s="52"/>
      <c r="D120" s="52"/>
      <c r="E120" s="83"/>
      <c r="F120" s="68" t="s">
        <v>95</v>
      </c>
      <c r="G120" s="83"/>
      <c r="H120" s="91"/>
      <c r="I120" s="91"/>
      <c r="J120" s="89"/>
      <c r="K120" s="89"/>
      <c r="L120" s="89"/>
      <c r="M120" s="91"/>
      <c r="N120" s="49"/>
      <c r="O120" s="50"/>
      <c r="P120" s="50"/>
      <c r="Q120" s="49"/>
      <c r="R120" s="49"/>
      <c r="S120" s="7"/>
      <c r="T120" s="136"/>
    </row>
    <row r="121" spans="1:20" ht="15" customHeight="1" thickBot="1" x14ac:dyDescent="0.25">
      <c r="A121" s="30">
        <v>120</v>
      </c>
      <c r="B121" s="33"/>
      <c r="C121" s="52"/>
      <c r="D121" s="52"/>
      <c r="E121" s="49"/>
      <c r="F121" s="52" t="s">
        <v>119</v>
      </c>
      <c r="G121" s="49"/>
      <c r="H121" s="120"/>
      <c r="I121" s="120"/>
      <c r="J121" s="120"/>
      <c r="K121" s="120"/>
      <c r="L121" s="120"/>
      <c r="M121" s="120"/>
      <c r="N121" s="49"/>
      <c r="O121" s="49"/>
      <c r="P121" s="49"/>
      <c r="Q121" s="49"/>
      <c r="R121" s="49"/>
      <c r="S121" s="7"/>
      <c r="T121" s="136"/>
    </row>
    <row r="122" spans="1:20" ht="15" customHeight="1" thickBot="1" x14ac:dyDescent="0.25">
      <c r="A122" s="30">
        <v>121</v>
      </c>
      <c r="B122" s="33"/>
      <c r="C122" s="52"/>
      <c r="D122" s="80"/>
      <c r="E122" s="78" t="s">
        <v>120</v>
      </c>
      <c r="F122" s="52"/>
      <c r="G122" s="49"/>
      <c r="H122" s="121">
        <f t="shared" ref="H122:M122" si="32">SUM(H115:H119,H121)</f>
        <v>4484</v>
      </c>
      <c r="I122" s="121">
        <f t="shared" si="32"/>
        <v>2132</v>
      </c>
      <c r="J122" s="121">
        <f t="shared" si="32"/>
        <v>2132</v>
      </c>
      <c r="K122" s="121">
        <f t="shared" si="32"/>
        <v>2132</v>
      </c>
      <c r="L122" s="121">
        <f t="shared" si="32"/>
        <v>2132</v>
      </c>
      <c r="M122" s="121">
        <f t="shared" si="32"/>
        <v>2132</v>
      </c>
      <c r="N122" s="49"/>
      <c r="O122" s="49"/>
      <c r="P122" s="49"/>
      <c r="Q122" s="49"/>
      <c r="R122" s="49"/>
      <c r="S122" s="7"/>
      <c r="T122" s="136" t="s">
        <v>121</v>
      </c>
    </row>
    <row r="123" spans="1:20" ht="15" customHeight="1" thickBot="1" x14ac:dyDescent="0.25">
      <c r="A123" s="30">
        <v>122</v>
      </c>
      <c r="B123" s="33"/>
      <c r="C123" s="52"/>
      <c r="D123" s="80" t="s">
        <v>67</v>
      </c>
      <c r="E123" s="78"/>
      <c r="F123" s="52" t="s">
        <v>122</v>
      </c>
      <c r="G123" s="49"/>
      <c r="H123" s="120">
        <v>4035</v>
      </c>
      <c r="I123" s="120">
        <v>1077</v>
      </c>
      <c r="J123" s="120">
        <v>1077</v>
      </c>
      <c r="K123" s="120">
        <v>1077</v>
      </c>
      <c r="L123" s="120">
        <v>1077</v>
      </c>
      <c r="M123" s="120">
        <v>1077</v>
      </c>
      <c r="N123" s="49"/>
      <c r="O123" s="49"/>
      <c r="P123" s="49"/>
      <c r="Q123" s="49"/>
      <c r="R123" s="49"/>
      <c r="S123" s="7"/>
      <c r="T123" s="136"/>
    </row>
    <row r="124" spans="1:20" ht="13.5" thickBot="1" x14ac:dyDescent="0.25">
      <c r="A124" s="30">
        <v>123</v>
      </c>
      <c r="B124" s="33"/>
      <c r="C124" s="52"/>
      <c r="D124" s="52"/>
      <c r="E124" s="78" t="s">
        <v>123</v>
      </c>
      <c r="F124" s="78"/>
      <c r="G124" s="49"/>
      <c r="H124" s="121">
        <f t="shared" ref="H124:M124" si="33">H122-H123</f>
        <v>449</v>
      </c>
      <c r="I124" s="121">
        <f t="shared" si="33"/>
        <v>1055</v>
      </c>
      <c r="J124" s="121">
        <f t="shared" si="33"/>
        <v>1055</v>
      </c>
      <c r="K124" s="121">
        <f t="shared" si="33"/>
        <v>1055</v>
      </c>
      <c r="L124" s="121">
        <f t="shared" si="33"/>
        <v>1055</v>
      </c>
      <c r="M124" s="121">
        <f t="shared" si="33"/>
        <v>1055</v>
      </c>
      <c r="N124" s="49"/>
      <c r="O124" s="49"/>
      <c r="P124" s="49"/>
      <c r="Q124" s="49"/>
      <c r="R124" s="49"/>
      <c r="S124" s="7"/>
      <c r="T124" s="136"/>
    </row>
    <row r="125" spans="1:20" s="3" customFormat="1" ht="16.5" customHeight="1" x14ac:dyDescent="0.2">
      <c r="A125" s="30">
        <v>124</v>
      </c>
      <c r="B125" s="33"/>
      <c r="C125" s="52"/>
      <c r="D125" s="77"/>
      <c r="E125" s="77"/>
      <c r="F125" s="52"/>
      <c r="G125" s="83"/>
      <c r="H125" s="50"/>
      <c r="I125" s="50"/>
      <c r="J125" s="49"/>
      <c r="K125" s="49"/>
      <c r="L125" s="49"/>
      <c r="M125" s="50"/>
      <c r="N125" s="49"/>
      <c r="O125" s="50"/>
      <c r="P125" s="50"/>
      <c r="Q125" s="49"/>
      <c r="R125" s="49"/>
      <c r="S125" s="7"/>
      <c r="T125" s="136"/>
    </row>
    <row r="126" spans="1:20" ht="30" customHeight="1" x14ac:dyDescent="0.25">
      <c r="A126" s="30">
        <v>125</v>
      </c>
      <c r="B126" s="69"/>
      <c r="C126" s="49"/>
      <c r="D126" s="49"/>
      <c r="E126" s="49"/>
      <c r="F126" s="49"/>
      <c r="G126" s="86"/>
      <c r="H126" s="21" t="s">
        <v>40</v>
      </c>
      <c r="I126" s="21" t="s">
        <v>41</v>
      </c>
      <c r="J126" s="21" t="s">
        <v>42</v>
      </c>
      <c r="K126" s="21" t="s">
        <v>43</v>
      </c>
      <c r="L126" s="21" t="s">
        <v>44</v>
      </c>
      <c r="M126" s="21" t="s">
        <v>45</v>
      </c>
      <c r="N126" s="14"/>
      <c r="O126" s="49"/>
      <c r="P126" s="49"/>
      <c r="Q126" s="49"/>
      <c r="R126" s="49"/>
      <c r="S126" s="7"/>
      <c r="T126" s="136"/>
    </row>
    <row r="127" spans="1:20" ht="15" customHeight="1" x14ac:dyDescent="0.25">
      <c r="A127" s="30">
        <v>126</v>
      </c>
      <c r="B127" s="69"/>
      <c r="C127" s="49"/>
      <c r="D127" s="49"/>
      <c r="E127" s="49"/>
      <c r="F127" s="49"/>
      <c r="G127" s="143" t="str">
        <f>IF(ISNUMBER(#REF!),"for year ended","")</f>
        <v/>
      </c>
      <c r="H127" s="101" t="str">
        <f>IF(ISNUMBER(#REF!),DATE(YEAR(#REF!),MONTH(#REF!),DAY(#REF!))-1,"")</f>
        <v/>
      </c>
      <c r="I127" s="101" t="str">
        <f>IF(ISNUMBER(#REF!),DATE(YEAR(#REF!)+1,MONTH(#REF!),DAY(#REF!))-1,"")</f>
        <v/>
      </c>
      <c r="J127" s="101" t="str">
        <f>IF(ISNUMBER(#REF!),DATE(YEAR(#REF!)+2,MONTH(#REF!),DAY(#REF!))-1,"")</f>
        <v/>
      </c>
      <c r="K127" s="101" t="str">
        <f>IF(ISNUMBER(#REF!),DATE(YEAR(#REF!)+3,MONTH(#REF!),DAY(#REF!))-1,"")</f>
        <v/>
      </c>
      <c r="L127" s="101" t="str">
        <f>IF(ISNUMBER(#REF!),DATE(YEAR(#REF!)+4,MONTH(#REF!),DAY(#REF!))-1,"")</f>
        <v/>
      </c>
      <c r="M127" s="101" t="str">
        <f>IF(ISNUMBER(#REF!),DATE(YEAR(#REF!)+5,MONTH(#REF!),DAY(#REF!))-1,"")</f>
        <v/>
      </c>
      <c r="N127" s="14"/>
      <c r="O127" s="49"/>
      <c r="P127" s="49"/>
      <c r="Q127" s="49"/>
      <c r="R127" s="49"/>
      <c r="S127" s="7"/>
      <c r="T127" s="136"/>
    </row>
    <row r="128" spans="1:20" ht="30" customHeight="1" x14ac:dyDescent="0.3">
      <c r="A128" s="30">
        <v>127</v>
      </c>
      <c r="B128" s="33"/>
      <c r="C128" s="71" t="s">
        <v>124</v>
      </c>
      <c r="D128" s="49"/>
      <c r="E128" s="78"/>
      <c r="F128" s="49"/>
      <c r="G128" s="49"/>
      <c r="H128" s="86"/>
      <c r="I128" s="86"/>
      <c r="J128" s="86"/>
      <c r="K128" s="86"/>
      <c r="L128" s="86"/>
      <c r="M128" s="86"/>
      <c r="N128" s="14"/>
      <c r="O128" s="14"/>
      <c r="P128" s="14"/>
      <c r="Q128" s="14"/>
      <c r="R128" s="14"/>
      <c r="S128" s="7"/>
      <c r="T128" s="136"/>
    </row>
    <row r="129" spans="1:20" ht="15" customHeight="1" x14ac:dyDescent="0.2">
      <c r="A129" s="30">
        <v>128</v>
      </c>
      <c r="B129" s="33"/>
      <c r="C129" s="52"/>
      <c r="D129" s="52"/>
      <c r="E129" s="49"/>
      <c r="F129" s="85" t="s">
        <v>118</v>
      </c>
      <c r="G129" s="49"/>
      <c r="H129" s="95" t="s">
        <v>72</v>
      </c>
      <c r="I129" s="49"/>
      <c r="J129" s="49"/>
      <c r="K129" s="49"/>
      <c r="L129" s="49"/>
      <c r="M129" s="49"/>
      <c r="N129" s="49"/>
      <c r="O129" s="49"/>
      <c r="P129" s="49"/>
      <c r="Q129" s="49"/>
      <c r="R129" s="49"/>
      <c r="S129" s="7"/>
      <c r="T129" s="136"/>
    </row>
    <row r="130" spans="1:20" ht="15" customHeight="1" x14ac:dyDescent="0.2">
      <c r="A130" s="30">
        <v>129</v>
      </c>
      <c r="B130" s="33"/>
      <c r="C130" s="52"/>
      <c r="D130" s="52"/>
      <c r="E130" s="49"/>
      <c r="F130" s="133" t="s">
        <v>607</v>
      </c>
      <c r="G130" s="49"/>
      <c r="H130" s="120">
        <v>390</v>
      </c>
      <c r="I130" s="120">
        <v>210</v>
      </c>
      <c r="J130" s="120">
        <v>295</v>
      </c>
      <c r="K130" s="120">
        <v>220.42</v>
      </c>
      <c r="L130" s="120">
        <v>220.42</v>
      </c>
      <c r="M130" s="120">
        <v>220.42</v>
      </c>
      <c r="N130" s="49"/>
      <c r="O130" s="49"/>
      <c r="P130" s="49"/>
      <c r="Q130" s="49"/>
      <c r="R130" s="49"/>
      <c r="S130" s="7"/>
      <c r="T130" s="136"/>
    </row>
    <row r="131" spans="1:20" ht="15" customHeight="1" x14ac:dyDescent="0.2">
      <c r="A131" s="30">
        <v>130</v>
      </c>
      <c r="B131" s="33"/>
      <c r="C131" s="52"/>
      <c r="D131" s="52"/>
      <c r="E131" s="49"/>
      <c r="F131" s="133" t="s">
        <v>608</v>
      </c>
      <c r="G131" s="49"/>
      <c r="H131" s="120">
        <v>1291.68</v>
      </c>
      <c r="I131" s="120">
        <v>311.36200000000002</v>
      </c>
      <c r="J131" s="120">
        <v>311.36200000000002</v>
      </c>
      <c r="K131" s="120">
        <v>1800</v>
      </c>
      <c r="L131" s="120">
        <v>2900</v>
      </c>
      <c r="M131" s="120">
        <v>4100</v>
      </c>
      <c r="N131" s="49"/>
      <c r="O131" s="49"/>
      <c r="P131" s="49"/>
      <c r="Q131" s="49"/>
      <c r="R131" s="49"/>
      <c r="S131" s="7"/>
      <c r="T131" s="136"/>
    </row>
    <row r="132" spans="1:20" ht="15" customHeight="1" x14ac:dyDescent="0.2">
      <c r="A132" s="30">
        <v>131</v>
      </c>
      <c r="B132" s="33"/>
      <c r="C132" s="52"/>
      <c r="D132" s="52"/>
      <c r="E132" s="49"/>
      <c r="F132" s="133"/>
      <c r="G132" s="49"/>
      <c r="H132" s="120"/>
      <c r="I132" s="120"/>
      <c r="J132" s="120"/>
      <c r="K132" s="120"/>
      <c r="L132" s="120"/>
      <c r="M132" s="120"/>
      <c r="N132" s="49"/>
      <c r="O132" s="49"/>
      <c r="P132" s="49"/>
      <c r="Q132" s="49"/>
      <c r="R132" s="49"/>
      <c r="S132" s="7"/>
      <c r="T132" s="136"/>
    </row>
    <row r="133" spans="1:20" ht="15" customHeight="1" x14ac:dyDescent="0.2">
      <c r="A133" s="30">
        <v>132</v>
      </c>
      <c r="B133" s="33"/>
      <c r="C133" s="52"/>
      <c r="D133" s="52"/>
      <c r="E133" s="49"/>
      <c r="F133" s="133"/>
      <c r="G133" s="49"/>
      <c r="H133" s="120"/>
      <c r="I133" s="120"/>
      <c r="J133" s="120"/>
      <c r="K133" s="120"/>
      <c r="L133" s="120"/>
      <c r="M133" s="120"/>
      <c r="N133" s="49"/>
      <c r="O133" s="49"/>
      <c r="P133" s="49"/>
      <c r="Q133" s="49"/>
      <c r="R133" s="49"/>
      <c r="S133" s="7"/>
      <c r="T133" s="136"/>
    </row>
    <row r="134" spans="1:20" ht="15" customHeight="1" x14ac:dyDescent="0.2">
      <c r="A134" s="30">
        <v>133</v>
      </c>
      <c r="B134" s="33"/>
      <c r="C134" s="52"/>
      <c r="D134" s="52"/>
      <c r="E134" s="49"/>
      <c r="F134" s="133"/>
      <c r="G134" s="49"/>
      <c r="H134" s="120"/>
      <c r="I134" s="120"/>
      <c r="J134" s="120"/>
      <c r="K134" s="120"/>
      <c r="L134" s="120"/>
      <c r="M134" s="120"/>
      <c r="N134" s="49"/>
      <c r="O134" s="49"/>
      <c r="P134" s="49"/>
      <c r="Q134" s="49"/>
      <c r="R134" s="49"/>
      <c r="S134" s="7"/>
      <c r="T134" s="136"/>
    </row>
    <row r="135" spans="1:20" s="6" customFormat="1" ht="15" customHeight="1" x14ac:dyDescent="0.2">
      <c r="A135" s="30">
        <v>134</v>
      </c>
      <c r="B135" s="33"/>
      <c r="C135" s="52"/>
      <c r="D135" s="52"/>
      <c r="E135" s="83"/>
      <c r="F135" s="68" t="s">
        <v>95</v>
      </c>
      <c r="G135" s="83"/>
      <c r="H135" s="91"/>
      <c r="I135" s="91"/>
      <c r="J135" s="89"/>
      <c r="K135" s="89"/>
      <c r="L135" s="89"/>
      <c r="M135" s="91"/>
      <c r="N135" s="49"/>
      <c r="O135" s="50"/>
      <c r="P135" s="50"/>
      <c r="Q135" s="49"/>
      <c r="R135" s="49"/>
      <c r="S135" s="7"/>
      <c r="T135" s="136"/>
    </row>
    <row r="136" spans="1:20" ht="15" customHeight="1" thickBot="1" x14ac:dyDescent="0.25">
      <c r="A136" s="30">
        <v>135</v>
      </c>
      <c r="B136" s="33"/>
      <c r="C136" s="52"/>
      <c r="D136" s="52"/>
      <c r="E136" s="49"/>
      <c r="F136" s="52" t="s">
        <v>125</v>
      </c>
      <c r="G136" s="49"/>
      <c r="H136" s="120"/>
      <c r="I136" s="120"/>
      <c r="J136" s="120"/>
      <c r="K136" s="120"/>
      <c r="L136" s="120"/>
      <c r="M136" s="120"/>
      <c r="N136" s="49"/>
      <c r="O136" s="49"/>
      <c r="P136" s="49"/>
      <c r="Q136" s="49"/>
      <c r="R136" s="49"/>
      <c r="S136" s="7"/>
      <c r="T136" s="136"/>
    </row>
    <row r="137" spans="1:20" ht="15" customHeight="1" thickBot="1" x14ac:dyDescent="0.25">
      <c r="A137" s="30">
        <v>136</v>
      </c>
      <c r="B137" s="33"/>
      <c r="C137" s="52"/>
      <c r="D137" s="80"/>
      <c r="E137" s="78" t="s">
        <v>126</v>
      </c>
      <c r="F137" s="52"/>
      <c r="G137" s="49"/>
      <c r="H137" s="121">
        <f t="shared" ref="H137:M137" si="34">SUM(H130:H134,H136)</f>
        <v>1681.68</v>
      </c>
      <c r="I137" s="121">
        <f t="shared" si="34"/>
        <v>521.36200000000008</v>
      </c>
      <c r="J137" s="121">
        <f t="shared" si="34"/>
        <v>606.36200000000008</v>
      </c>
      <c r="K137" s="121">
        <f t="shared" si="34"/>
        <v>2020.42</v>
      </c>
      <c r="L137" s="121">
        <f t="shared" si="34"/>
        <v>3120.42</v>
      </c>
      <c r="M137" s="121">
        <f t="shared" si="34"/>
        <v>4320.42</v>
      </c>
      <c r="N137" s="49"/>
      <c r="O137" s="49"/>
      <c r="P137" s="49"/>
      <c r="Q137" s="49"/>
      <c r="R137" s="49"/>
      <c r="S137" s="7"/>
      <c r="T137" s="136" t="s">
        <v>127</v>
      </c>
    </row>
    <row r="138" spans="1:20" ht="15" customHeight="1" thickBot="1" x14ac:dyDescent="0.25">
      <c r="A138" s="30">
        <v>137</v>
      </c>
      <c r="B138" s="33"/>
      <c r="C138" s="52"/>
      <c r="D138" s="80" t="s">
        <v>67</v>
      </c>
      <c r="E138" s="49"/>
      <c r="F138" s="52" t="s">
        <v>128</v>
      </c>
      <c r="G138" s="49"/>
      <c r="H138" s="120"/>
      <c r="I138" s="120"/>
      <c r="J138" s="120"/>
      <c r="K138" s="120"/>
      <c r="L138" s="120"/>
      <c r="M138" s="120"/>
      <c r="N138" s="49"/>
      <c r="O138" s="49"/>
      <c r="P138" s="49"/>
      <c r="Q138" s="49"/>
      <c r="R138" s="49"/>
      <c r="S138" s="7"/>
      <c r="T138" s="136"/>
    </row>
    <row r="139" spans="1:20" ht="15" customHeight="1" thickBot="1" x14ac:dyDescent="0.25">
      <c r="A139" s="30">
        <v>138</v>
      </c>
      <c r="B139" s="33"/>
      <c r="C139" s="52"/>
      <c r="D139" s="52"/>
      <c r="E139" s="78" t="s">
        <v>129</v>
      </c>
      <c r="F139" s="78"/>
      <c r="G139" s="49"/>
      <c r="H139" s="121">
        <f t="shared" ref="H139:M139" si="35">H137-H138</f>
        <v>1681.68</v>
      </c>
      <c r="I139" s="121">
        <f t="shared" si="35"/>
        <v>521.36200000000008</v>
      </c>
      <c r="J139" s="121">
        <f t="shared" si="35"/>
        <v>606.36200000000008</v>
      </c>
      <c r="K139" s="121">
        <f t="shared" si="35"/>
        <v>2020.42</v>
      </c>
      <c r="L139" s="121">
        <f t="shared" si="35"/>
        <v>3120.42</v>
      </c>
      <c r="M139" s="121">
        <f t="shared" si="35"/>
        <v>4320.42</v>
      </c>
      <c r="N139" s="49"/>
      <c r="O139" s="49"/>
      <c r="P139" s="49"/>
      <c r="Q139" s="49"/>
      <c r="R139" s="49"/>
      <c r="S139" s="7"/>
      <c r="T139" s="136"/>
    </row>
    <row r="140" spans="1:20" ht="15" customHeight="1" x14ac:dyDescent="0.2">
      <c r="A140" s="30">
        <v>139</v>
      </c>
      <c r="B140" s="33"/>
      <c r="C140" s="52"/>
      <c r="D140" s="52"/>
      <c r="E140" s="78"/>
      <c r="F140" s="78"/>
      <c r="G140" s="83"/>
      <c r="H140" s="50"/>
      <c r="I140" s="50"/>
      <c r="J140" s="49"/>
      <c r="K140" s="49"/>
      <c r="L140" s="49"/>
      <c r="M140" s="50"/>
      <c r="N140" s="49"/>
      <c r="O140" s="49"/>
      <c r="P140" s="49"/>
      <c r="Q140" s="49"/>
      <c r="R140" s="49"/>
      <c r="S140" s="7"/>
      <c r="T140" s="136"/>
    </row>
    <row r="141" spans="1:20" ht="30" customHeight="1" x14ac:dyDescent="0.25">
      <c r="A141" s="30">
        <v>140</v>
      </c>
      <c r="B141" s="69"/>
      <c r="C141" s="49"/>
      <c r="D141" s="49"/>
      <c r="E141" s="49"/>
      <c r="F141" s="49"/>
      <c r="G141" s="86"/>
      <c r="H141" s="21" t="s">
        <v>40</v>
      </c>
      <c r="I141" s="21" t="s">
        <v>41</v>
      </c>
      <c r="J141" s="21" t="s">
        <v>42</v>
      </c>
      <c r="K141" s="21" t="s">
        <v>43</v>
      </c>
      <c r="L141" s="21" t="s">
        <v>44</v>
      </c>
      <c r="M141" s="21" t="s">
        <v>45</v>
      </c>
      <c r="N141" s="14"/>
      <c r="O141" s="49"/>
      <c r="P141" s="49"/>
      <c r="Q141" s="49"/>
      <c r="R141" s="49"/>
      <c r="S141" s="7"/>
      <c r="T141" s="136"/>
    </row>
    <row r="142" spans="1:20" ht="15" customHeight="1" x14ac:dyDescent="0.25">
      <c r="A142" s="30">
        <v>141</v>
      </c>
      <c r="B142" s="69"/>
      <c r="C142" s="49"/>
      <c r="D142" s="49"/>
      <c r="E142" s="49"/>
      <c r="F142" s="49"/>
      <c r="G142" s="143" t="str">
        <f>IF(ISNUMBER(#REF!),"for year ended","")</f>
        <v/>
      </c>
      <c r="H142" s="101" t="str">
        <f>IF(ISNUMBER(#REF!),DATE(YEAR(#REF!),MONTH(#REF!),DAY(#REF!))-1,"")</f>
        <v/>
      </c>
      <c r="I142" s="101" t="str">
        <f>IF(ISNUMBER(#REF!),DATE(YEAR(#REF!)+1,MONTH(#REF!),DAY(#REF!))-1,"")</f>
        <v/>
      </c>
      <c r="J142" s="101" t="str">
        <f>IF(ISNUMBER(#REF!),DATE(YEAR(#REF!)+2,MONTH(#REF!),DAY(#REF!))-1,"")</f>
        <v/>
      </c>
      <c r="K142" s="101" t="str">
        <f>IF(ISNUMBER(#REF!),DATE(YEAR(#REF!)+3,MONTH(#REF!),DAY(#REF!))-1,"")</f>
        <v/>
      </c>
      <c r="L142" s="101" t="str">
        <f>IF(ISNUMBER(#REF!),DATE(YEAR(#REF!)+4,MONTH(#REF!),DAY(#REF!))-1,"")</f>
        <v/>
      </c>
      <c r="M142" s="101" t="str">
        <f>IF(ISNUMBER(#REF!),DATE(YEAR(#REF!)+5,MONTH(#REF!),DAY(#REF!))-1,"")</f>
        <v/>
      </c>
      <c r="N142" s="14"/>
      <c r="O142" s="49"/>
      <c r="P142" s="49"/>
      <c r="Q142" s="49"/>
      <c r="R142" s="49"/>
      <c r="S142" s="7"/>
      <c r="T142" s="136"/>
    </row>
    <row r="143" spans="1:20" ht="30" customHeight="1" x14ac:dyDescent="0.3">
      <c r="A143" s="30">
        <v>142</v>
      </c>
      <c r="B143" s="33"/>
      <c r="C143" s="71" t="s">
        <v>130</v>
      </c>
      <c r="D143" s="49"/>
      <c r="E143" s="78"/>
      <c r="F143" s="49"/>
      <c r="G143" s="49"/>
      <c r="H143" s="86"/>
      <c r="I143" s="86"/>
      <c r="J143" s="86"/>
      <c r="K143" s="86"/>
      <c r="L143" s="86"/>
      <c r="M143" s="86"/>
      <c r="N143" s="14"/>
      <c r="O143" s="14"/>
      <c r="P143" s="14"/>
      <c r="Q143" s="14"/>
      <c r="R143" s="14"/>
      <c r="S143" s="7"/>
      <c r="T143" s="136"/>
    </row>
    <row r="144" spans="1:20" ht="15" customHeight="1" x14ac:dyDescent="0.2">
      <c r="A144" s="30">
        <v>143</v>
      </c>
      <c r="B144" s="33"/>
      <c r="C144" s="52"/>
      <c r="D144" s="52"/>
      <c r="E144" s="49"/>
      <c r="F144" s="85" t="s">
        <v>118</v>
      </c>
      <c r="G144" s="49"/>
      <c r="H144" s="95" t="s">
        <v>72</v>
      </c>
      <c r="I144" s="49"/>
      <c r="J144" s="49"/>
      <c r="K144" s="49"/>
      <c r="L144" s="49"/>
      <c r="M144" s="49"/>
      <c r="N144" s="49"/>
      <c r="O144" s="49"/>
      <c r="P144" s="49"/>
      <c r="Q144" s="49"/>
      <c r="R144" s="49"/>
      <c r="S144" s="7"/>
      <c r="T144" s="136"/>
    </row>
    <row r="145" spans="1:20" ht="15" customHeight="1" x14ac:dyDescent="0.2">
      <c r="A145" s="30">
        <v>144</v>
      </c>
      <c r="B145" s="33"/>
      <c r="C145" s="52"/>
      <c r="D145" s="52"/>
      <c r="E145" s="49"/>
      <c r="F145" s="133"/>
      <c r="G145" s="49"/>
      <c r="H145" s="120"/>
      <c r="I145" s="120"/>
      <c r="J145" s="120"/>
      <c r="K145" s="120"/>
      <c r="L145" s="120"/>
      <c r="M145" s="120"/>
      <c r="N145" s="49"/>
      <c r="O145" s="49"/>
      <c r="P145" s="49"/>
      <c r="Q145" s="49"/>
      <c r="R145" s="49"/>
      <c r="S145" s="7"/>
      <c r="T145" s="136"/>
    </row>
    <row r="146" spans="1:20" ht="15" customHeight="1" x14ac:dyDescent="0.2">
      <c r="A146" s="30">
        <v>145</v>
      </c>
      <c r="B146" s="33"/>
      <c r="C146" s="52"/>
      <c r="D146" s="52"/>
      <c r="E146" s="49"/>
      <c r="F146" s="133"/>
      <c r="G146" s="49"/>
      <c r="H146" s="120"/>
      <c r="I146" s="120"/>
      <c r="J146" s="120"/>
      <c r="K146" s="120"/>
      <c r="L146" s="120"/>
      <c r="M146" s="120"/>
      <c r="N146" s="49"/>
      <c r="O146" s="49"/>
      <c r="P146" s="49"/>
      <c r="Q146" s="49"/>
      <c r="R146" s="49"/>
      <c r="S146" s="7"/>
      <c r="T146" s="136"/>
    </row>
    <row r="147" spans="1:20" ht="15" customHeight="1" x14ac:dyDescent="0.2">
      <c r="A147" s="30">
        <v>146</v>
      </c>
      <c r="B147" s="33"/>
      <c r="C147" s="52"/>
      <c r="D147" s="52"/>
      <c r="E147" s="49"/>
      <c r="F147" s="133"/>
      <c r="G147" s="49"/>
      <c r="H147" s="120"/>
      <c r="I147" s="120"/>
      <c r="J147" s="120"/>
      <c r="K147" s="120"/>
      <c r="L147" s="120"/>
      <c r="M147" s="120"/>
      <c r="N147" s="49"/>
      <c r="O147" s="49"/>
      <c r="P147" s="49"/>
      <c r="Q147" s="49"/>
      <c r="R147" s="49"/>
      <c r="S147" s="7"/>
      <c r="T147" s="136"/>
    </row>
    <row r="148" spans="1:20" ht="15" customHeight="1" x14ac:dyDescent="0.2">
      <c r="A148" s="30">
        <v>147</v>
      </c>
      <c r="B148" s="33"/>
      <c r="C148" s="52"/>
      <c r="D148" s="52"/>
      <c r="E148" s="49"/>
      <c r="F148" s="133"/>
      <c r="G148" s="49"/>
      <c r="H148" s="120"/>
      <c r="I148" s="120"/>
      <c r="J148" s="120"/>
      <c r="K148" s="120"/>
      <c r="L148" s="120"/>
      <c r="M148" s="120"/>
      <c r="N148" s="49"/>
      <c r="O148" s="49"/>
      <c r="P148" s="49"/>
      <c r="Q148" s="49"/>
      <c r="R148" s="49"/>
      <c r="S148" s="7"/>
      <c r="T148" s="136"/>
    </row>
    <row r="149" spans="1:20" ht="15" customHeight="1" x14ac:dyDescent="0.2">
      <c r="A149" s="30">
        <v>148</v>
      </c>
      <c r="B149" s="33"/>
      <c r="C149" s="52"/>
      <c r="D149" s="52"/>
      <c r="E149" s="49"/>
      <c r="F149" s="133"/>
      <c r="G149" s="49"/>
      <c r="H149" s="120"/>
      <c r="I149" s="120"/>
      <c r="J149" s="120"/>
      <c r="K149" s="120"/>
      <c r="L149" s="120"/>
      <c r="M149" s="120"/>
      <c r="N149" s="49"/>
      <c r="O149" s="49"/>
      <c r="P149" s="49"/>
      <c r="Q149" s="49"/>
      <c r="R149" s="49"/>
      <c r="S149" s="7"/>
      <c r="T149" s="136"/>
    </row>
    <row r="150" spans="1:20" s="6" customFormat="1" ht="15" customHeight="1" x14ac:dyDescent="0.2">
      <c r="A150" s="30">
        <v>149</v>
      </c>
      <c r="B150" s="33"/>
      <c r="C150" s="52"/>
      <c r="D150" s="52"/>
      <c r="E150" s="83"/>
      <c r="F150" s="68" t="s">
        <v>95</v>
      </c>
      <c r="G150" s="83"/>
      <c r="H150" s="91"/>
      <c r="I150" s="91"/>
      <c r="J150" s="89"/>
      <c r="K150" s="89"/>
      <c r="L150" s="89"/>
      <c r="M150" s="91"/>
      <c r="N150" s="49"/>
      <c r="O150" s="50"/>
      <c r="P150" s="50"/>
      <c r="Q150" s="49"/>
      <c r="R150" s="49"/>
      <c r="S150" s="7"/>
      <c r="T150" s="136"/>
    </row>
    <row r="151" spans="1:20" ht="15" customHeight="1" thickBot="1" x14ac:dyDescent="0.25">
      <c r="A151" s="30">
        <v>150</v>
      </c>
      <c r="B151" s="33"/>
      <c r="C151" s="52"/>
      <c r="D151" s="52"/>
      <c r="E151" s="49"/>
      <c r="F151" s="52" t="s">
        <v>131</v>
      </c>
      <c r="G151" s="49"/>
      <c r="H151" s="120"/>
      <c r="I151" s="120"/>
      <c r="J151" s="120"/>
      <c r="K151" s="120"/>
      <c r="L151" s="120"/>
      <c r="M151" s="120"/>
      <c r="N151" s="49"/>
      <c r="O151" s="49"/>
      <c r="P151" s="49"/>
      <c r="Q151" s="49"/>
      <c r="R151" s="49"/>
      <c r="S151" s="7"/>
      <c r="T151" s="136"/>
    </row>
    <row r="152" spans="1:20" ht="15" customHeight="1" thickBot="1" x14ac:dyDescent="0.25">
      <c r="A152" s="30">
        <v>151</v>
      </c>
      <c r="B152" s="33"/>
      <c r="C152" s="52"/>
      <c r="D152" s="80"/>
      <c r="E152" s="78" t="s">
        <v>132</v>
      </c>
      <c r="F152" s="52"/>
      <c r="G152" s="49"/>
      <c r="H152" s="121">
        <f t="shared" ref="H152:M152" si="36">SUM(H145:H149,H151)</f>
        <v>0</v>
      </c>
      <c r="I152" s="121">
        <f t="shared" si="36"/>
        <v>0</v>
      </c>
      <c r="J152" s="121">
        <f t="shared" si="36"/>
        <v>0</v>
      </c>
      <c r="K152" s="121">
        <f t="shared" si="36"/>
        <v>0</v>
      </c>
      <c r="L152" s="121">
        <f t="shared" si="36"/>
        <v>0</v>
      </c>
      <c r="M152" s="121">
        <f t="shared" si="36"/>
        <v>0</v>
      </c>
      <c r="N152" s="49"/>
      <c r="O152" s="49"/>
      <c r="P152" s="49"/>
      <c r="Q152" s="49"/>
      <c r="R152" s="49"/>
      <c r="S152" s="7"/>
      <c r="T152" s="136" t="s">
        <v>133</v>
      </c>
    </row>
    <row r="153" spans="1:20" ht="15" customHeight="1" thickBot="1" x14ac:dyDescent="0.25">
      <c r="A153" s="30">
        <v>152</v>
      </c>
      <c r="B153" s="33"/>
      <c r="C153" s="52"/>
      <c r="D153" s="80" t="s">
        <v>67</v>
      </c>
      <c r="E153" s="49"/>
      <c r="F153" s="52" t="s">
        <v>134</v>
      </c>
      <c r="G153" s="49"/>
      <c r="H153" s="120"/>
      <c r="I153" s="120"/>
      <c r="J153" s="120"/>
      <c r="K153" s="120"/>
      <c r="L153" s="120"/>
      <c r="M153" s="120"/>
      <c r="N153" s="49"/>
      <c r="O153" s="49"/>
      <c r="P153" s="49"/>
      <c r="Q153" s="49"/>
      <c r="R153" s="49"/>
      <c r="S153" s="7"/>
      <c r="T153" s="136"/>
    </row>
    <row r="154" spans="1:20" ht="15" customHeight="1" thickBot="1" x14ac:dyDescent="0.25">
      <c r="A154" s="30">
        <v>153</v>
      </c>
      <c r="B154" s="33"/>
      <c r="C154" s="52"/>
      <c r="D154" s="52"/>
      <c r="E154" s="78" t="s">
        <v>135</v>
      </c>
      <c r="F154" s="78"/>
      <c r="G154" s="49"/>
      <c r="H154" s="121">
        <f t="shared" ref="H154:M154" si="37">H152-H153</f>
        <v>0</v>
      </c>
      <c r="I154" s="121">
        <f t="shared" si="37"/>
        <v>0</v>
      </c>
      <c r="J154" s="121">
        <f t="shared" si="37"/>
        <v>0</v>
      </c>
      <c r="K154" s="121">
        <f t="shared" si="37"/>
        <v>0</v>
      </c>
      <c r="L154" s="121">
        <f t="shared" si="37"/>
        <v>0</v>
      </c>
      <c r="M154" s="121">
        <f t="shared" si="37"/>
        <v>0</v>
      </c>
      <c r="N154" s="49"/>
      <c r="O154" s="49"/>
      <c r="P154" s="49"/>
      <c r="Q154" s="49"/>
      <c r="R154" s="49"/>
      <c r="S154" s="7"/>
      <c r="T154" s="136"/>
    </row>
    <row r="155" spans="1:20" ht="15" customHeight="1" x14ac:dyDescent="0.2">
      <c r="A155" s="30">
        <v>154</v>
      </c>
      <c r="B155" s="33"/>
      <c r="C155" s="52"/>
      <c r="D155" s="52"/>
      <c r="E155" s="78"/>
      <c r="F155" s="78"/>
      <c r="G155" s="49"/>
      <c r="H155" s="97"/>
      <c r="I155" s="97"/>
      <c r="J155" s="97"/>
      <c r="K155" s="97"/>
      <c r="L155" s="97"/>
      <c r="M155" s="97"/>
      <c r="N155" s="49"/>
      <c r="O155" s="49"/>
      <c r="P155" s="49"/>
      <c r="Q155" s="49"/>
      <c r="R155" s="49"/>
      <c r="S155" s="7"/>
      <c r="T155" s="136"/>
    </row>
    <row r="156" spans="1:20" ht="18.75" customHeight="1" x14ac:dyDescent="0.25">
      <c r="A156" s="30">
        <v>155</v>
      </c>
      <c r="B156" s="69"/>
      <c r="C156" s="49"/>
      <c r="D156" s="49"/>
      <c r="E156" s="49"/>
      <c r="F156" s="49"/>
      <c r="G156" s="49"/>
      <c r="H156" s="21" t="s">
        <v>40</v>
      </c>
      <c r="I156" s="21" t="s">
        <v>41</v>
      </c>
      <c r="J156" s="21" t="s">
        <v>42</v>
      </c>
      <c r="K156" s="21" t="s">
        <v>43</v>
      </c>
      <c r="L156" s="21" t="s">
        <v>44</v>
      </c>
      <c r="M156" s="21" t="s">
        <v>45</v>
      </c>
      <c r="N156" s="14"/>
      <c r="O156" s="49"/>
      <c r="P156" s="49"/>
      <c r="Q156" s="49"/>
      <c r="R156" s="49"/>
      <c r="S156" s="7"/>
      <c r="T156" s="136"/>
    </row>
    <row r="157" spans="1:20" ht="30" customHeight="1" x14ac:dyDescent="0.3">
      <c r="A157" s="30">
        <v>156</v>
      </c>
      <c r="B157" s="33"/>
      <c r="C157" s="71" t="s">
        <v>136</v>
      </c>
      <c r="D157" s="49"/>
      <c r="E157" s="78"/>
      <c r="F157" s="49"/>
      <c r="G157" s="144" t="str">
        <f>IF(ISNUMBER(#REF!),"for year ended","")</f>
        <v/>
      </c>
      <c r="H157" s="110" t="str">
        <f>IF(ISNUMBER(#REF!),DATE(YEAR(#REF!),MONTH(#REF!),DAY(#REF!))-1,"")</f>
        <v/>
      </c>
      <c r="I157" s="110" t="str">
        <f>IF(ISNUMBER(#REF!),DATE(YEAR(#REF!)+1,MONTH(#REF!),DAY(#REF!))-1,"")</f>
        <v/>
      </c>
      <c r="J157" s="110" t="str">
        <f>IF(ISNUMBER(#REF!),DATE(YEAR(#REF!)+2,MONTH(#REF!),DAY(#REF!))-1,"")</f>
        <v/>
      </c>
      <c r="K157" s="110" t="str">
        <f>IF(ISNUMBER(#REF!),DATE(YEAR(#REF!)+3,MONTH(#REF!),DAY(#REF!))-1,"")</f>
        <v/>
      </c>
      <c r="L157" s="110" t="str">
        <f>IF(ISNUMBER(#REF!),DATE(YEAR(#REF!)+4,MONTH(#REF!),DAY(#REF!))-1,"")</f>
        <v/>
      </c>
      <c r="M157" s="110" t="str">
        <f>IF(ISNUMBER(#REF!),DATE(YEAR(#REF!)+5,MONTH(#REF!),DAY(#REF!))-1,"")</f>
        <v/>
      </c>
      <c r="N157" s="14"/>
      <c r="O157" s="14"/>
      <c r="P157" s="14"/>
      <c r="Q157" s="14"/>
      <c r="R157" s="14"/>
      <c r="S157" s="7"/>
      <c r="T157" s="136"/>
    </row>
    <row r="158" spans="1:20" ht="15" customHeight="1" x14ac:dyDescent="0.2">
      <c r="A158" s="30">
        <v>157</v>
      </c>
      <c r="B158" s="33"/>
      <c r="C158" s="52"/>
      <c r="D158" s="52"/>
      <c r="E158" s="49"/>
      <c r="F158" s="85" t="s">
        <v>118</v>
      </c>
      <c r="G158" s="49"/>
      <c r="H158" s="102" t="s">
        <v>72</v>
      </c>
      <c r="I158" s="49"/>
      <c r="J158" s="49"/>
      <c r="K158" s="49"/>
      <c r="L158" s="49"/>
      <c r="M158" s="49"/>
      <c r="N158" s="49"/>
      <c r="O158" s="49"/>
      <c r="P158" s="49"/>
      <c r="Q158" s="49"/>
      <c r="R158" s="49"/>
      <c r="S158" s="7"/>
      <c r="T158" s="136"/>
    </row>
    <row r="159" spans="1:20" ht="15" customHeight="1" x14ac:dyDescent="0.2">
      <c r="A159" s="30">
        <v>158</v>
      </c>
      <c r="B159" s="33"/>
      <c r="C159" s="52"/>
      <c r="D159" s="52"/>
      <c r="E159" s="49"/>
      <c r="F159" s="133"/>
      <c r="G159" s="49"/>
      <c r="H159" s="120"/>
      <c r="I159" s="120"/>
      <c r="J159" s="120"/>
      <c r="K159" s="120"/>
      <c r="L159" s="120"/>
      <c r="M159" s="120"/>
      <c r="N159" s="49"/>
      <c r="O159" s="49"/>
      <c r="P159" s="49"/>
      <c r="Q159" s="49"/>
      <c r="R159" s="49"/>
      <c r="S159" s="7"/>
      <c r="T159" s="136"/>
    </row>
    <row r="160" spans="1:20" ht="15" customHeight="1" x14ac:dyDescent="0.2">
      <c r="A160" s="30">
        <v>159</v>
      </c>
      <c r="B160" s="33"/>
      <c r="C160" s="52"/>
      <c r="D160" s="52"/>
      <c r="E160" s="49"/>
      <c r="F160" s="133"/>
      <c r="G160" s="49"/>
      <c r="H160" s="120"/>
      <c r="I160" s="120"/>
      <c r="J160" s="120"/>
      <c r="K160" s="120"/>
      <c r="L160" s="120"/>
      <c r="M160" s="120"/>
      <c r="N160" s="49"/>
      <c r="O160" s="49"/>
      <c r="P160" s="49"/>
      <c r="Q160" s="49"/>
      <c r="R160" s="49"/>
      <c r="S160" s="7"/>
      <c r="T160" s="136"/>
    </row>
    <row r="161" spans="1:20" ht="15" customHeight="1" x14ac:dyDescent="0.2">
      <c r="A161" s="30">
        <v>160</v>
      </c>
      <c r="B161" s="33"/>
      <c r="C161" s="52"/>
      <c r="D161" s="52"/>
      <c r="E161" s="49"/>
      <c r="F161" s="133"/>
      <c r="G161" s="49"/>
      <c r="H161" s="120"/>
      <c r="I161" s="120"/>
      <c r="J161" s="120"/>
      <c r="K161" s="120"/>
      <c r="L161" s="120"/>
      <c r="M161" s="120"/>
      <c r="N161" s="49"/>
      <c r="O161" s="49"/>
      <c r="P161" s="49"/>
      <c r="Q161" s="49"/>
      <c r="R161" s="49"/>
      <c r="S161" s="7"/>
      <c r="T161" s="136"/>
    </row>
    <row r="162" spans="1:20" ht="15" customHeight="1" x14ac:dyDescent="0.2">
      <c r="A162" s="30">
        <v>161</v>
      </c>
      <c r="B162" s="33"/>
      <c r="C162" s="52"/>
      <c r="D162" s="52"/>
      <c r="E162" s="49"/>
      <c r="F162" s="133"/>
      <c r="G162" s="49"/>
      <c r="H162" s="120"/>
      <c r="I162" s="120"/>
      <c r="J162" s="120"/>
      <c r="K162" s="120"/>
      <c r="L162" s="120"/>
      <c r="M162" s="120"/>
      <c r="N162" s="49"/>
      <c r="O162" s="49"/>
      <c r="P162" s="49"/>
      <c r="Q162" s="49"/>
      <c r="R162" s="49"/>
      <c r="S162" s="7"/>
      <c r="T162" s="136"/>
    </row>
    <row r="163" spans="1:20" ht="15" customHeight="1" x14ac:dyDescent="0.2">
      <c r="A163" s="30">
        <v>162</v>
      </c>
      <c r="B163" s="33"/>
      <c r="C163" s="52"/>
      <c r="D163" s="52"/>
      <c r="E163" s="49"/>
      <c r="F163" s="133"/>
      <c r="G163" s="49"/>
      <c r="H163" s="120"/>
      <c r="I163" s="120"/>
      <c r="J163" s="120"/>
      <c r="K163" s="120"/>
      <c r="L163" s="120"/>
      <c r="M163" s="120"/>
      <c r="N163" s="49"/>
      <c r="O163" s="49"/>
      <c r="P163" s="49"/>
      <c r="Q163" s="49"/>
      <c r="R163" s="49"/>
      <c r="S163" s="7"/>
      <c r="T163" s="136"/>
    </row>
    <row r="164" spans="1:20" s="6" customFormat="1" ht="15" customHeight="1" x14ac:dyDescent="0.2">
      <c r="A164" s="30">
        <v>163</v>
      </c>
      <c r="B164" s="33"/>
      <c r="C164" s="52"/>
      <c r="D164" s="52"/>
      <c r="E164" s="83"/>
      <c r="F164" s="68" t="s">
        <v>95</v>
      </c>
      <c r="G164" s="83"/>
      <c r="H164" s="91"/>
      <c r="I164" s="91"/>
      <c r="J164" s="89"/>
      <c r="K164" s="89"/>
      <c r="L164" s="89"/>
      <c r="M164" s="91"/>
      <c r="N164" s="49"/>
      <c r="O164" s="50"/>
      <c r="P164" s="50"/>
      <c r="Q164" s="49"/>
      <c r="R164" s="49"/>
      <c r="S164" s="7"/>
      <c r="T164" s="136"/>
    </row>
    <row r="165" spans="1:20" ht="15" customHeight="1" thickBot="1" x14ac:dyDescent="0.25">
      <c r="A165" s="30">
        <v>164</v>
      </c>
      <c r="B165" s="33"/>
      <c r="C165" s="52"/>
      <c r="D165" s="52"/>
      <c r="E165" s="49"/>
      <c r="F165" s="52" t="s">
        <v>137</v>
      </c>
      <c r="G165" s="83"/>
      <c r="H165" s="120"/>
      <c r="I165" s="120"/>
      <c r="J165" s="120"/>
      <c r="K165" s="120"/>
      <c r="L165" s="120"/>
      <c r="M165" s="120"/>
      <c r="N165" s="49"/>
      <c r="O165" s="49"/>
      <c r="P165" s="49"/>
      <c r="Q165" s="49"/>
      <c r="R165" s="49"/>
      <c r="S165" s="7"/>
      <c r="T165" s="136"/>
    </row>
    <row r="166" spans="1:20" ht="15" customHeight="1" thickBot="1" x14ac:dyDescent="0.25">
      <c r="A166" s="30">
        <v>165</v>
      </c>
      <c r="B166" s="33"/>
      <c r="C166" s="52"/>
      <c r="D166" s="80"/>
      <c r="E166" s="78" t="s">
        <v>138</v>
      </c>
      <c r="F166" s="52"/>
      <c r="G166" s="49"/>
      <c r="H166" s="121">
        <f t="shared" ref="H166:M166" si="38">SUM(H159:H163,H165)</f>
        <v>0</v>
      </c>
      <c r="I166" s="121">
        <f t="shared" si="38"/>
        <v>0</v>
      </c>
      <c r="J166" s="121">
        <f t="shared" si="38"/>
        <v>0</v>
      </c>
      <c r="K166" s="121">
        <f t="shared" si="38"/>
        <v>0</v>
      </c>
      <c r="L166" s="121">
        <f t="shared" si="38"/>
        <v>0</v>
      </c>
      <c r="M166" s="121">
        <f t="shared" si="38"/>
        <v>0</v>
      </c>
      <c r="N166" s="49"/>
      <c r="O166" s="49"/>
      <c r="P166" s="49"/>
      <c r="Q166" s="49"/>
      <c r="R166" s="49"/>
      <c r="S166" s="7"/>
      <c r="T166" s="136" t="s">
        <v>139</v>
      </c>
    </row>
    <row r="167" spans="1:20" ht="15" customHeight="1" thickBot="1" x14ac:dyDescent="0.25">
      <c r="A167" s="30">
        <v>166</v>
      </c>
      <c r="B167" s="33"/>
      <c r="C167" s="52"/>
      <c r="D167" s="80" t="s">
        <v>67</v>
      </c>
      <c r="E167" s="49"/>
      <c r="F167" s="52" t="s">
        <v>140</v>
      </c>
      <c r="G167" s="49"/>
      <c r="H167" s="120"/>
      <c r="I167" s="120"/>
      <c r="J167" s="120"/>
      <c r="K167" s="120"/>
      <c r="L167" s="120"/>
      <c r="M167" s="120"/>
      <c r="N167" s="49"/>
      <c r="O167" s="49"/>
      <c r="P167" s="49"/>
      <c r="Q167" s="49"/>
      <c r="R167" s="49"/>
      <c r="S167" s="7"/>
      <c r="T167" s="136"/>
    </row>
    <row r="168" spans="1:20" ht="15" customHeight="1" thickBot="1" x14ac:dyDescent="0.25">
      <c r="A168" s="30">
        <v>167</v>
      </c>
      <c r="B168" s="33"/>
      <c r="C168" s="52"/>
      <c r="D168" s="52"/>
      <c r="E168" s="78" t="s">
        <v>141</v>
      </c>
      <c r="F168" s="78"/>
      <c r="G168" s="49"/>
      <c r="H168" s="121">
        <f t="shared" ref="H168:M168" si="39">H166-H167</f>
        <v>0</v>
      </c>
      <c r="I168" s="121">
        <f t="shared" si="39"/>
        <v>0</v>
      </c>
      <c r="J168" s="121">
        <f t="shared" si="39"/>
        <v>0</v>
      </c>
      <c r="K168" s="121">
        <f t="shared" si="39"/>
        <v>0</v>
      </c>
      <c r="L168" s="121">
        <f t="shared" si="39"/>
        <v>0</v>
      </c>
      <c r="M168" s="121">
        <f t="shared" si="39"/>
        <v>0</v>
      </c>
      <c r="N168" s="49"/>
      <c r="O168" s="49"/>
      <c r="P168" s="49"/>
      <c r="Q168" s="49"/>
      <c r="R168" s="49"/>
      <c r="S168" s="7"/>
      <c r="T168" s="136"/>
    </row>
    <row r="169" spans="1:20" x14ac:dyDescent="0.2">
      <c r="A169" s="30">
        <v>168</v>
      </c>
      <c r="B169" s="33"/>
      <c r="C169" s="52"/>
      <c r="D169" s="52"/>
      <c r="E169" s="49"/>
      <c r="F169" s="49"/>
      <c r="G169" s="49"/>
      <c r="H169" s="49"/>
      <c r="I169" s="49"/>
      <c r="J169" s="49"/>
      <c r="K169" s="49"/>
      <c r="L169" s="49"/>
      <c r="M169" s="49"/>
      <c r="N169" s="49"/>
      <c r="O169" s="49"/>
      <c r="P169" s="49"/>
      <c r="Q169" s="49"/>
      <c r="R169" s="49"/>
      <c r="S169" s="7"/>
      <c r="T169" s="136"/>
    </row>
    <row r="170" spans="1:20" ht="30" customHeight="1" x14ac:dyDescent="0.25">
      <c r="A170" s="30">
        <v>169</v>
      </c>
      <c r="B170" s="69"/>
      <c r="C170" s="49"/>
      <c r="D170" s="49"/>
      <c r="E170" s="49"/>
      <c r="F170" s="49"/>
      <c r="G170" s="86"/>
      <c r="H170" s="21" t="s">
        <v>40</v>
      </c>
      <c r="I170" s="21" t="s">
        <v>41</v>
      </c>
      <c r="J170" s="21" t="s">
        <v>42</v>
      </c>
      <c r="K170" s="21" t="s">
        <v>43</v>
      </c>
      <c r="L170" s="21" t="s">
        <v>44</v>
      </c>
      <c r="M170" s="21" t="s">
        <v>45</v>
      </c>
      <c r="N170" s="14"/>
      <c r="O170" s="49"/>
      <c r="P170" s="49"/>
      <c r="Q170" s="49"/>
      <c r="R170" s="49"/>
      <c r="S170" s="7"/>
      <c r="T170" s="136"/>
    </row>
    <row r="171" spans="1:20" ht="15" customHeight="1" x14ac:dyDescent="0.25">
      <c r="A171" s="30">
        <v>170</v>
      </c>
      <c r="B171" s="69"/>
      <c r="C171" s="49"/>
      <c r="D171" s="49"/>
      <c r="E171" s="49"/>
      <c r="F171" s="49"/>
      <c r="G171" s="143" t="str">
        <f>IF(ISNUMBER(#REF!),"for year ended","")</f>
        <v/>
      </c>
      <c r="H171" s="101" t="str">
        <f>IF(ISNUMBER(#REF!),DATE(YEAR(#REF!),MONTH(#REF!),DAY(#REF!))-1,"")</f>
        <v/>
      </c>
      <c r="I171" s="101" t="str">
        <f>IF(ISNUMBER(#REF!),DATE(YEAR(#REF!)+1,MONTH(#REF!),DAY(#REF!))-1,"")</f>
        <v/>
      </c>
      <c r="J171" s="101" t="str">
        <f>IF(ISNUMBER(#REF!),DATE(YEAR(#REF!)+2,MONTH(#REF!),DAY(#REF!))-1,"")</f>
        <v/>
      </c>
      <c r="K171" s="101" t="str">
        <f>IF(ISNUMBER(#REF!),DATE(YEAR(#REF!)+3,MONTH(#REF!),DAY(#REF!))-1,"")</f>
        <v/>
      </c>
      <c r="L171" s="101" t="str">
        <f>IF(ISNUMBER(#REF!),DATE(YEAR(#REF!)+4,MONTH(#REF!),DAY(#REF!))-1,"")</f>
        <v/>
      </c>
      <c r="M171" s="101" t="str">
        <f>IF(ISNUMBER(#REF!),DATE(YEAR(#REF!)+5,MONTH(#REF!),DAY(#REF!))-1,"")</f>
        <v/>
      </c>
      <c r="N171" s="14"/>
      <c r="O171" s="49"/>
      <c r="P171" s="49"/>
      <c r="Q171" s="49"/>
      <c r="R171" s="49"/>
      <c r="S171" s="7"/>
      <c r="T171" s="136"/>
    </row>
    <row r="172" spans="1:20" ht="24" customHeight="1" x14ac:dyDescent="0.3">
      <c r="A172" s="30">
        <v>171</v>
      </c>
      <c r="B172" s="33"/>
      <c r="C172" s="71" t="s">
        <v>142</v>
      </c>
      <c r="D172" s="49"/>
      <c r="E172" s="49"/>
      <c r="F172" s="49"/>
      <c r="G172" s="49"/>
      <c r="H172" s="112"/>
      <c r="I172" s="21"/>
      <c r="J172" s="21"/>
      <c r="K172" s="21"/>
      <c r="L172" s="21"/>
      <c r="M172" s="21"/>
      <c r="N172" s="14"/>
      <c r="O172" s="14"/>
      <c r="P172" s="14"/>
      <c r="Q172" s="14"/>
      <c r="R172" s="14"/>
      <c r="S172" s="7"/>
      <c r="T172" s="136"/>
    </row>
    <row r="173" spans="1:20" ht="15" customHeight="1" x14ac:dyDescent="0.2">
      <c r="A173" s="30">
        <v>172</v>
      </c>
      <c r="B173" s="33"/>
      <c r="C173" s="52"/>
      <c r="D173" s="77" t="s">
        <v>143</v>
      </c>
      <c r="E173" s="52"/>
      <c r="F173" s="49"/>
      <c r="G173" s="143"/>
      <c r="H173" s="101"/>
      <c r="I173" s="101"/>
      <c r="J173" s="101"/>
      <c r="K173" s="101"/>
      <c r="L173" s="101"/>
      <c r="M173" s="101"/>
      <c r="N173" s="49"/>
      <c r="O173" s="49"/>
      <c r="P173" s="49"/>
      <c r="Q173" s="49"/>
      <c r="R173" s="49"/>
      <c r="S173" s="7"/>
      <c r="T173" s="136"/>
    </row>
    <row r="174" spans="1:20" ht="15" customHeight="1" x14ac:dyDescent="0.2">
      <c r="A174" s="30">
        <v>173</v>
      </c>
      <c r="B174" s="33"/>
      <c r="C174" s="52"/>
      <c r="D174" s="52"/>
      <c r="E174" s="49"/>
      <c r="F174" s="85" t="s">
        <v>118</v>
      </c>
      <c r="G174" s="143"/>
      <c r="H174" s="95" t="s">
        <v>72</v>
      </c>
      <c r="I174" s="49"/>
      <c r="J174" s="49"/>
      <c r="K174" s="49"/>
      <c r="L174" s="49"/>
      <c r="M174" s="103"/>
      <c r="N174" s="49"/>
      <c r="O174" s="49"/>
      <c r="P174" s="49"/>
      <c r="Q174" s="49"/>
      <c r="R174" s="49"/>
      <c r="S174" s="7"/>
      <c r="T174" s="136"/>
    </row>
    <row r="175" spans="1:20" ht="15" customHeight="1" x14ac:dyDescent="0.2">
      <c r="A175" s="30">
        <v>174</v>
      </c>
      <c r="B175" s="33"/>
      <c r="C175" s="52"/>
      <c r="D175" s="52"/>
      <c r="E175" s="49"/>
      <c r="F175" s="133" t="s">
        <v>609</v>
      </c>
      <c r="G175" s="49"/>
      <c r="H175" s="120">
        <v>5438.8040000000001</v>
      </c>
      <c r="I175" s="120">
        <v>5528.7787094075038</v>
      </c>
      <c r="J175" s="120">
        <v>2958.3459829283188</v>
      </c>
      <c r="K175" s="120">
        <v>5329.4460995225054</v>
      </c>
      <c r="L175" s="120">
        <v>3198</v>
      </c>
      <c r="M175" s="120">
        <v>3332.6861482829995</v>
      </c>
      <c r="N175" s="49"/>
      <c r="O175" s="49"/>
      <c r="P175" s="49"/>
      <c r="Q175" s="49"/>
      <c r="R175" s="49"/>
      <c r="S175" s="7"/>
      <c r="T175" s="136"/>
    </row>
    <row r="176" spans="1:20" ht="15" customHeight="1" x14ac:dyDescent="0.2">
      <c r="A176" s="30">
        <v>175</v>
      </c>
      <c r="B176" s="33"/>
      <c r="C176" s="52"/>
      <c r="D176" s="52"/>
      <c r="E176" s="49"/>
      <c r="F176" s="133"/>
      <c r="G176" s="49"/>
      <c r="H176" s="120"/>
      <c r="I176" s="120"/>
      <c r="J176" s="120"/>
      <c r="K176" s="120"/>
      <c r="L176" s="120"/>
      <c r="M176" s="120"/>
      <c r="N176" s="49"/>
      <c r="O176" s="49"/>
      <c r="P176" s="49"/>
      <c r="Q176" s="49"/>
      <c r="R176" s="49"/>
      <c r="S176" s="7"/>
      <c r="T176" s="136"/>
    </row>
    <row r="177" spans="1:20" ht="15" customHeight="1" x14ac:dyDescent="0.2">
      <c r="A177" s="30">
        <v>176</v>
      </c>
      <c r="B177" s="33"/>
      <c r="C177" s="52"/>
      <c r="D177" s="52"/>
      <c r="E177" s="49"/>
      <c r="F177" s="133"/>
      <c r="G177" s="49"/>
      <c r="H177" s="120"/>
      <c r="I177" s="120"/>
      <c r="J177" s="120"/>
      <c r="K177" s="120"/>
      <c r="L177" s="120"/>
      <c r="M177" s="120"/>
      <c r="N177" s="49"/>
      <c r="O177" s="49"/>
      <c r="P177" s="49"/>
      <c r="Q177" s="49"/>
      <c r="R177" s="49"/>
      <c r="S177" s="7"/>
      <c r="T177" s="136"/>
    </row>
    <row r="178" spans="1:20" ht="15" customHeight="1" x14ac:dyDescent="0.2">
      <c r="A178" s="30">
        <v>177</v>
      </c>
      <c r="B178" s="33"/>
      <c r="C178" s="52"/>
      <c r="D178" s="52"/>
      <c r="E178" s="49"/>
      <c r="F178" s="133"/>
      <c r="G178" s="49"/>
      <c r="H178" s="120"/>
      <c r="I178" s="120"/>
      <c r="J178" s="120"/>
      <c r="K178" s="120"/>
      <c r="L178" s="120"/>
      <c r="M178" s="120"/>
      <c r="N178" s="49"/>
      <c r="O178" s="49"/>
      <c r="P178" s="49"/>
      <c r="Q178" s="49"/>
      <c r="R178" s="49"/>
      <c r="S178" s="7"/>
      <c r="T178" s="136"/>
    </row>
    <row r="179" spans="1:20" ht="15" customHeight="1" x14ac:dyDescent="0.2">
      <c r="A179" s="30">
        <v>178</v>
      </c>
      <c r="B179" s="33"/>
      <c r="C179" s="52"/>
      <c r="D179" s="52"/>
      <c r="E179" s="49"/>
      <c r="F179" s="133"/>
      <c r="G179" s="49"/>
      <c r="H179" s="120"/>
      <c r="I179" s="120"/>
      <c r="J179" s="120"/>
      <c r="K179" s="120"/>
      <c r="L179" s="120"/>
      <c r="M179" s="120"/>
      <c r="N179" s="49"/>
      <c r="O179" s="49"/>
      <c r="P179" s="49"/>
      <c r="Q179" s="49"/>
      <c r="R179" s="49"/>
      <c r="S179" s="7"/>
      <c r="T179" s="136"/>
    </row>
    <row r="180" spans="1:20" s="6" customFormat="1" ht="15" customHeight="1" x14ac:dyDescent="0.2">
      <c r="A180" s="30">
        <v>179</v>
      </c>
      <c r="B180" s="33"/>
      <c r="C180" s="52"/>
      <c r="D180" s="52"/>
      <c r="E180" s="83"/>
      <c r="F180" s="68" t="s">
        <v>95</v>
      </c>
      <c r="G180" s="83"/>
      <c r="H180" s="91"/>
      <c r="I180" s="91"/>
      <c r="J180" s="89"/>
      <c r="K180" s="89"/>
      <c r="L180" s="89"/>
      <c r="M180" s="91"/>
      <c r="N180" s="49"/>
      <c r="O180" s="50"/>
      <c r="P180" s="50"/>
      <c r="Q180" s="49"/>
      <c r="R180" s="49"/>
      <c r="S180" s="7"/>
      <c r="T180" s="136"/>
    </row>
    <row r="181" spans="1:20" ht="15" customHeight="1" thickBot="1" x14ac:dyDescent="0.25">
      <c r="A181" s="30">
        <v>180</v>
      </c>
      <c r="B181" s="33"/>
      <c r="C181" s="52"/>
      <c r="D181" s="52"/>
      <c r="E181" s="49"/>
      <c r="F181" s="52" t="s">
        <v>144</v>
      </c>
      <c r="G181" s="49"/>
      <c r="H181" s="120"/>
      <c r="I181" s="120"/>
      <c r="J181" s="120"/>
      <c r="K181" s="120"/>
      <c r="L181" s="120"/>
      <c r="M181" s="120"/>
      <c r="N181" s="49"/>
      <c r="O181" s="49"/>
      <c r="P181" s="49"/>
      <c r="Q181" s="49"/>
      <c r="R181" s="49"/>
      <c r="S181" s="7"/>
      <c r="T181" s="136"/>
    </row>
    <row r="182" spans="1:20" ht="15" customHeight="1" thickBot="1" x14ac:dyDescent="0.25">
      <c r="A182" s="30">
        <v>181</v>
      </c>
      <c r="B182" s="33"/>
      <c r="C182" s="52"/>
      <c r="D182" s="80"/>
      <c r="E182" s="78" t="s">
        <v>143</v>
      </c>
      <c r="F182" s="52"/>
      <c r="G182" s="49"/>
      <c r="H182" s="121">
        <f t="shared" ref="H182:M182" si="40">SUM(H175:H179,H181)</f>
        <v>5438.8040000000001</v>
      </c>
      <c r="I182" s="121">
        <f t="shared" si="40"/>
        <v>5528.7787094075038</v>
      </c>
      <c r="J182" s="121">
        <f t="shared" si="40"/>
        <v>2958.3459829283188</v>
      </c>
      <c r="K182" s="121">
        <f t="shared" si="40"/>
        <v>5329.4460995225054</v>
      </c>
      <c r="L182" s="121">
        <f t="shared" si="40"/>
        <v>3198</v>
      </c>
      <c r="M182" s="121">
        <f t="shared" si="40"/>
        <v>3332.6861482829995</v>
      </c>
      <c r="N182" s="49"/>
      <c r="O182" s="49"/>
      <c r="P182" s="49"/>
      <c r="Q182" s="49"/>
      <c r="R182" s="49"/>
      <c r="S182" s="7"/>
      <c r="T182" s="136"/>
    </row>
    <row r="183" spans="1:20" ht="15" customHeight="1" x14ac:dyDescent="0.2">
      <c r="A183" s="30">
        <v>182</v>
      </c>
      <c r="B183" s="33"/>
      <c r="C183" s="52"/>
      <c r="D183" s="77" t="s">
        <v>145</v>
      </c>
      <c r="E183" s="52"/>
      <c r="F183" s="49"/>
      <c r="G183" s="49"/>
      <c r="H183" s="49"/>
      <c r="I183" s="49"/>
      <c r="J183" s="49"/>
      <c r="K183" s="49"/>
      <c r="L183" s="49"/>
      <c r="M183" s="49"/>
      <c r="N183" s="49"/>
      <c r="O183" s="49"/>
      <c r="P183" s="49"/>
      <c r="Q183" s="49"/>
      <c r="R183" s="49"/>
      <c r="S183" s="7"/>
      <c r="T183" s="136"/>
    </row>
    <row r="184" spans="1:20" ht="15" customHeight="1" x14ac:dyDescent="0.2">
      <c r="A184" s="30">
        <v>183</v>
      </c>
      <c r="B184" s="33"/>
      <c r="C184" s="52"/>
      <c r="D184" s="52"/>
      <c r="E184" s="49"/>
      <c r="F184" s="85" t="s">
        <v>118</v>
      </c>
      <c r="G184" s="49"/>
      <c r="H184" s="49"/>
      <c r="I184" s="49"/>
      <c r="J184" s="49"/>
      <c r="K184" s="49"/>
      <c r="L184" s="49"/>
      <c r="M184" s="49"/>
      <c r="N184" s="49"/>
      <c r="O184" s="49"/>
      <c r="P184" s="49"/>
      <c r="Q184" s="49"/>
      <c r="R184" s="49"/>
      <c r="S184" s="7"/>
      <c r="T184" s="136"/>
    </row>
    <row r="185" spans="1:20" ht="15" customHeight="1" x14ac:dyDescent="0.2">
      <c r="A185" s="30">
        <v>184</v>
      </c>
      <c r="B185" s="33"/>
      <c r="C185" s="52"/>
      <c r="D185" s="52"/>
      <c r="E185" s="49"/>
      <c r="F185" s="133"/>
      <c r="G185" s="49"/>
      <c r="H185" s="120"/>
      <c r="I185" s="120"/>
      <c r="J185" s="120"/>
      <c r="K185" s="120"/>
      <c r="L185" s="120"/>
      <c r="M185" s="120"/>
      <c r="N185" s="49"/>
      <c r="O185" s="49"/>
      <c r="P185" s="49"/>
      <c r="Q185" s="49"/>
      <c r="R185" s="49"/>
      <c r="S185" s="7"/>
      <c r="T185" s="136"/>
    </row>
    <row r="186" spans="1:20" ht="15" customHeight="1" x14ac:dyDescent="0.2">
      <c r="A186" s="30">
        <v>185</v>
      </c>
      <c r="B186" s="33"/>
      <c r="C186" s="52"/>
      <c r="D186" s="52"/>
      <c r="E186" s="49"/>
      <c r="F186" s="133"/>
      <c r="G186" s="49"/>
      <c r="H186" s="120"/>
      <c r="I186" s="120"/>
      <c r="J186" s="120"/>
      <c r="K186" s="120"/>
      <c r="L186" s="120"/>
      <c r="M186" s="120"/>
      <c r="N186" s="49"/>
      <c r="O186" s="49"/>
      <c r="P186" s="49"/>
      <c r="Q186" s="49"/>
      <c r="R186" s="49"/>
      <c r="S186" s="7"/>
      <c r="T186" s="136"/>
    </row>
    <row r="187" spans="1:20" ht="15" customHeight="1" x14ac:dyDescent="0.2">
      <c r="A187" s="30">
        <v>186</v>
      </c>
      <c r="B187" s="33"/>
      <c r="C187" s="52"/>
      <c r="D187" s="52"/>
      <c r="E187" s="49"/>
      <c r="F187" s="133"/>
      <c r="G187" s="49"/>
      <c r="H187" s="120"/>
      <c r="I187" s="120"/>
      <c r="J187" s="120"/>
      <c r="K187" s="120"/>
      <c r="L187" s="120"/>
      <c r="M187" s="120"/>
      <c r="N187" s="49"/>
      <c r="O187" s="49"/>
      <c r="P187" s="49"/>
      <c r="Q187" s="49"/>
      <c r="R187" s="49"/>
      <c r="S187" s="7"/>
      <c r="T187" s="136"/>
    </row>
    <row r="188" spans="1:20" ht="15" customHeight="1" x14ac:dyDescent="0.2">
      <c r="A188" s="30">
        <v>187</v>
      </c>
      <c r="B188" s="33"/>
      <c r="C188" s="52"/>
      <c r="D188" s="52"/>
      <c r="E188" s="49"/>
      <c r="F188" s="133"/>
      <c r="G188" s="49"/>
      <c r="H188" s="120"/>
      <c r="I188" s="120"/>
      <c r="J188" s="120"/>
      <c r="K188" s="120"/>
      <c r="L188" s="120"/>
      <c r="M188" s="120"/>
      <c r="N188" s="49"/>
      <c r="O188" s="49"/>
      <c r="P188" s="49"/>
      <c r="Q188" s="49"/>
      <c r="R188" s="49"/>
      <c r="S188" s="7"/>
      <c r="T188" s="136"/>
    </row>
    <row r="189" spans="1:20" ht="15" customHeight="1" x14ac:dyDescent="0.2">
      <c r="A189" s="30">
        <v>188</v>
      </c>
      <c r="B189" s="33"/>
      <c r="C189" s="52"/>
      <c r="D189" s="52"/>
      <c r="E189" s="49"/>
      <c r="F189" s="133"/>
      <c r="G189" s="49"/>
      <c r="H189" s="120"/>
      <c r="I189" s="120"/>
      <c r="J189" s="120"/>
      <c r="K189" s="120"/>
      <c r="L189" s="120"/>
      <c r="M189" s="120"/>
      <c r="N189" s="49"/>
      <c r="O189" s="49"/>
      <c r="P189" s="49"/>
      <c r="Q189" s="49"/>
      <c r="R189" s="49"/>
      <c r="S189" s="7"/>
      <c r="T189" s="136"/>
    </row>
    <row r="190" spans="1:20" s="6" customFormat="1" ht="15" customHeight="1" x14ac:dyDescent="0.2">
      <c r="A190" s="30">
        <v>189</v>
      </c>
      <c r="B190" s="33"/>
      <c r="C190" s="52"/>
      <c r="D190" s="52"/>
      <c r="E190" s="83"/>
      <c r="F190" s="68" t="s">
        <v>95</v>
      </c>
      <c r="G190" s="83"/>
      <c r="H190" s="91"/>
      <c r="I190" s="91"/>
      <c r="J190" s="89"/>
      <c r="K190" s="89"/>
      <c r="L190" s="89"/>
      <c r="M190" s="91"/>
      <c r="N190" s="49"/>
      <c r="O190" s="50"/>
      <c r="P190" s="50"/>
      <c r="Q190" s="49"/>
      <c r="R190" s="49"/>
      <c r="S190" s="7"/>
      <c r="T190" s="136"/>
    </row>
    <row r="191" spans="1:20" ht="15" customHeight="1" thickBot="1" x14ac:dyDescent="0.25">
      <c r="A191" s="30">
        <v>190</v>
      </c>
      <c r="B191" s="33"/>
      <c r="C191" s="52"/>
      <c r="D191" s="52"/>
      <c r="E191" s="49"/>
      <c r="F191" s="52" t="s">
        <v>146</v>
      </c>
      <c r="G191" s="49"/>
      <c r="H191" s="120"/>
      <c r="I191" s="120"/>
      <c r="J191" s="120"/>
      <c r="K191" s="120"/>
      <c r="L191" s="120"/>
      <c r="M191" s="120"/>
      <c r="N191" s="49"/>
      <c r="O191" s="49"/>
      <c r="P191" s="49"/>
      <c r="Q191" s="49"/>
      <c r="R191" s="49"/>
      <c r="S191" s="7"/>
      <c r="T191" s="136"/>
    </row>
    <row r="192" spans="1:20" ht="15" customHeight="1" thickBot="1" x14ac:dyDescent="0.25">
      <c r="A192" s="30">
        <v>191</v>
      </c>
      <c r="B192" s="33"/>
      <c r="C192" s="52"/>
      <c r="D192" s="80"/>
      <c r="E192" s="78" t="s">
        <v>145</v>
      </c>
      <c r="F192" s="52"/>
      <c r="G192" s="49"/>
      <c r="H192" s="121">
        <f t="shared" ref="H192:M192" si="41">SUM(H185:H189,H191)</f>
        <v>0</v>
      </c>
      <c r="I192" s="121">
        <f t="shared" si="41"/>
        <v>0</v>
      </c>
      <c r="J192" s="121">
        <f t="shared" si="41"/>
        <v>0</v>
      </c>
      <c r="K192" s="121">
        <f t="shared" si="41"/>
        <v>0</v>
      </c>
      <c r="L192" s="121">
        <f t="shared" si="41"/>
        <v>0</v>
      </c>
      <c r="M192" s="121">
        <f t="shared" si="41"/>
        <v>0</v>
      </c>
      <c r="N192" s="49"/>
      <c r="O192" s="49"/>
      <c r="P192" s="49"/>
      <c r="Q192" s="49"/>
      <c r="R192" s="49"/>
      <c r="S192" s="7"/>
      <c r="T192" s="136"/>
    </row>
    <row r="193" spans="1:20" ht="15" customHeight="1" thickBot="1" x14ac:dyDescent="0.25">
      <c r="A193" s="30">
        <v>192</v>
      </c>
      <c r="B193" s="33"/>
      <c r="C193" s="52"/>
      <c r="D193" s="77"/>
      <c r="E193" s="52"/>
      <c r="F193" s="49"/>
      <c r="G193" s="49"/>
      <c r="H193" s="89"/>
      <c r="I193" s="89"/>
      <c r="J193" s="89"/>
      <c r="K193" s="89"/>
      <c r="L193" s="89"/>
      <c r="M193" s="89"/>
      <c r="N193" s="49"/>
      <c r="O193" s="49"/>
      <c r="P193" s="49"/>
      <c r="Q193" s="49"/>
      <c r="R193" s="49"/>
      <c r="S193" s="7"/>
      <c r="T193" s="136"/>
    </row>
    <row r="194" spans="1:20" ht="15" customHeight="1" thickBot="1" x14ac:dyDescent="0.25">
      <c r="A194" s="30">
        <v>193</v>
      </c>
      <c r="B194" s="33"/>
      <c r="C194" s="52"/>
      <c r="D194" s="80"/>
      <c r="E194" s="78" t="s">
        <v>63</v>
      </c>
      <c r="F194" s="49"/>
      <c r="G194" s="49"/>
      <c r="H194" s="121">
        <f t="shared" ref="H194:M194" si="42">H192+H182</f>
        <v>5438.8040000000001</v>
      </c>
      <c r="I194" s="121">
        <f t="shared" si="42"/>
        <v>5528.7787094075038</v>
      </c>
      <c r="J194" s="121">
        <f t="shared" si="42"/>
        <v>2958.3459829283188</v>
      </c>
      <c r="K194" s="121">
        <f t="shared" si="42"/>
        <v>5329.4460995225054</v>
      </c>
      <c r="L194" s="121">
        <f t="shared" si="42"/>
        <v>3198</v>
      </c>
      <c r="M194" s="121">
        <f t="shared" si="42"/>
        <v>3332.6861482829995</v>
      </c>
      <c r="N194" s="49"/>
      <c r="O194" s="49"/>
      <c r="P194" s="49"/>
      <c r="Q194" s="49"/>
      <c r="R194" s="49"/>
      <c r="S194" s="7"/>
      <c r="T194" s="136" t="s">
        <v>147</v>
      </c>
    </row>
    <row r="195" spans="1:20" x14ac:dyDescent="0.2">
      <c r="A195" s="30">
        <v>194</v>
      </c>
      <c r="B195" s="41"/>
      <c r="C195" s="10"/>
      <c r="D195" s="10"/>
      <c r="E195" s="10"/>
      <c r="F195" s="10"/>
      <c r="G195" s="10"/>
      <c r="H195" s="10"/>
      <c r="I195" s="10"/>
      <c r="J195" s="10"/>
      <c r="K195" s="10"/>
      <c r="L195" s="10"/>
      <c r="M195" s="10"/>
      <c r="N195" s="10"/>
      <c r="O195" s="10"/>
      <c r="P195" s="10"/>
      <c r="Q195" s="10"/>
      <c r="R195" s="10"/>
      <c r="S195" s="11"/>
      <c r="T195" s="136"/>
    </row>
  </sheetData>
  <sheetProtection formatRows="0" insertRows="0"/>
  <mergeCells count="9">
    <mergeCell ref="P2:R2"/>
    <mergeCell ref="P3:R3"/>
    <mergeCell ref="C79:D79"/>
    <mergeCell ref="C80:D80"/>
    <mergeCell ref="H72:H73"/>
    <mergeCell ref="A5:R5"/>
    <mergeCell ref="C78:D78"/>
    <mergeCell ref="C76:D76"/>
    <mergeCell ref="C77:D77"/>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8:T50" xr:uid="{00000000-0002-0000-0300-000000000000}">
      <formula1>OR(AND(ISNUMBER(T48),T48&gt;=0),AND(ISTEXT(T48),T48="N/A"))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8:R52" xr:uid="{00000000-0002-0000-0300-000001000000}">
      <formula1>OR(AND(ISNUMBER(H48),H48&gt;=0),AND(ISTEXT(H48),H48="N/A"))</formula1>
    </dataValidation>
    <dataValidation allowBlank="1" showInputMessage="1" showErrorMessage="1" prompt="Please enter text" sqref="F77:F80 F185:F189 F130:F134 F145:F149 F159:F163 F115:F119 F175:F179"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2" max="18" man="1"/>
    <brk id="96" max="18" man="1"/>
    <brk id="14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6"/>
  <sheetViews>
    <sheetView showGridLines="0" view="pageBreakPreview" zoomScale="85" zoomScaleNormal="50" zoomScaleSheetLayoutView="85" workbookViewId="0"/>
  </sheetViews>
  <sheetFormatPr defaultRowHeight="12.75" x14ac:dyDescent="0.2"/>
  <cols>
    <col min="1" max="1" width="4.140625" customWidth="1"/>
    <col min="2" max="2" width="3.5703125" customWidth="1"/>
    <col min="3" max="3" width="6.140625" customWidth="1"/>
    <col min="4" max="4" width="2.28515625" customWidth="1"/>
    <col min="5" max="5" width="52.42578125" customWidth="1"/>
    <col min="6" max="6" width="3" customWidth="1"/>
    <col min="7" max="8" width="3.28515625" customWidth="1"/>
    <col min="9" max="19" width="16.140625" customWidth="1"/>
    <col min="20" max="20" width="2.28515625" customWidth="1"/>
  </cols>
  <sheetData>
    <row r="1" spans="1:20" ht="15" customHeight="1" x14ac:dyDescent="0.2">
      <c r="A1" s="17"/>
      <c r="B1" s="18"/>
      <c r="C1" s="18"/>
      <c r="D1" s="18"/>
      <c r="E1" s="18"/>
      <c r="F1" s="18"/>
      <c r="G1" s="18"/>
      <c r="H1" s="18"/>
      <c r="I1" s="18"/>
      <c r="J1" s="18"/>
      <c r="K1" s="18"/>
      <c r="L1" s="18"/>
      <c r="M1" s="18"/>
      <c r="N1" s="18"/>
      <c r="O1" s="18"/>
      <c r="P1" s="18"/>
      <c r="Q1" s="18"/>
      <c r="R1" s="18"/>
      <c r="S1" s="18"/>
      <c r="T1" s="19"/>
    </row>
    <row r="2" spans="1:20" ht="18" customHeight="1" x14ac:dyDescent="0.3">
      <c r="A2" s="20"/>
      <c r="B2" s="37"/>
      <c r="C2" s="37"/>
      <c r="D2" s="37"/>
      <c r="E2" s="37"/>
      <c r="F2" s="37"/>
      <c r="G2" s="37"/>
      <c r="H2" s="37"/>
      <c r="I2" s="37"/>
      <c r="J2" s="37"/>
      <c r="K2" s="37"/>
      <c r="L2" s="37"/>
      <c r="M2" s="37"/>
      <c r="N2" s="37"/>
      <c r="O2" s="15"/>
      <c r="P2" s="31" t="s">
        <v>1</v>
      </c>
      <c r="Q2" s="215" t="str">
        <f>IF(NOT(ISBLANK(CoverSheet!$C$8)),CoverSheet!$C$8,"")</f>
        <v>Aurora Energy Limited</v>
      </c>
      <c r="R2" s="215"/>
      <c r="S2" s="215"/>
      <c r="T2" s="12"/>
    </row>
    <row r="3" spans="1:20" ht="18" customHeight="1" x14ac:dyDescent="0.3">
      <c r="A3" s="20"/>
      <c r="B3" s="37"/>
      <c r="C3" s="37"/>
      <c r="D3" s="37"/>
      <c r="E3" s="37"/>
      <c r="F3" s="37"/>
      <c r="G3" s="37"/>
      <c r="H3" s="37"/>
      <c r="I3" s="37"/>
      <c r="J3" s="37"/>
      <c r="K3" s="37"/>
      <c r="L3" s="37"/>
      <c r="M3" s="37"/>
      <c r="N3" s="37"/>
      <c r="O3" s="15"/>
      <c r="P3" s="31" t="s">
        <v>37</v>
      </c>
      <c r="Q3" s="225" t="str">
        <f>IF(ISNUMBER(CoverSheet!$C$12),TEXT(CoverSheet!$C$12,"_([$-1409]d mmmm yyyy;_(@")&amp;" –"&amp;TEXT(DATE(YEAR(CoverSheet!$C$12)+10,MONTH(CoverSheet!$C$12),DAY(CoverSheet!$C$12)-1),"_([$-1409]d mmmm yyyy;_(@"),"")</f>
        <v xml:space="preserve"> 1 April 2024 – 31 March 2034</v>
      </c>
      <c r="R3" s="225"/>
      <c r="S3" s="225"/>
      <c r="T3" s="12"/>
    </row>
    <row r="4" spans="1:20" ht="21" x14ac:dyDescent="0.35">
      <c r="A4" s="54" t="s">
        <v>148</v>
      </c>
      <c r="B4" s="40"/>
      <c r="C4" s="37"/>
      <c r="D4" s="37"/>
      <c r="E4" s="37"/>
      <c r="F4" s="37"/>
      <c r="G4" s="37"/>
      <c r="H4" s="37"/>
      <c r="I4" s="37"/>
      <c r="J4" s="37"/>
      <c r="K4" s="37"/>
      <c r="L4" s="37"/>
      <c r="M4" s="37"/>
      <c r="N4" s="37"/>
      <c r="O4" s="37"/>
      <c r="P4" s="38"/>
      <c r="Q4" s="37"/>
      <c r="R4" s="37"/>
      <c r="S4" s="37"/>
      <c r="T4" s="12"/>
    </row>
    <row r="5" spans="1:20" ht="54.75" customHeight="1" x14ac:dyDescent="0.2">
      <c r="A5" s="222" t="s">
        <v>598</v>
      </c>
      <c r="B5" s="223"/>
      <c r="C5" s="223"/>
      <c r="D5" s="223"/>
      <c r="E5" s="223"/>
      <c r="F5" s="223"/>
      <c r="G5" s="223"/>
      <c r="H5" s="223"/>
      <c r="I5" s="223"/>
      <c r="J5" s="223"/>
      <c r="K5" s="223"/>
      <c r="L5" s="223"/>
      <c r="M5" s="223"/>
      <c r="N5" s="223"/>
      <c r="O5" s="223"/>
      <c r="P5" s="223"/>
      <c r="Q5" s="223"/>
      <c r="R5" s="223"/>
      <c r="S5" s="223"/>
      <c r="T5" s="32"/>
    </row>
    <row r="6" spans="1:20" ht="15" customHeight="1" x14ac:dyDescent="0.2">
      <c r="A6" s="25" t="s">
        <v>39</v>
      </c>
      <c r="B6" s="38"/>
      <c r="C6" s="38"/>
      <c r="D6" s="37"/>
      <c r="E6" s="37"/>
      <c r="F6" s="37"/>
      <c r="G6" s="37"/>
      <c r="H6" s="37"/>
      <c r="I6" s="37"/>
      <c r="J6" s="37"/>
      <c r="K6" s="37"/>
      <c r="L6" s="37"/>
      <c r="M6" s="37"/>
      <c r="N6" s="37"/>
      <c r="O6" s="37"/>
      <c r="P6" s="37"/>
      <c r="Q6" s="37"/>
      <c r="R6" s="37"/>
      <c r="S6" s="37"/>
      <c r="T6" s="12"/>
    </row>
    <row r="7" spans="1:20" ht="15" customHeight="1" x14ac:dyDescent="0.2">
      <c r="A7" s="30">
        <v>7</v>
      </c>
      <c r="B7" s="33"/>
      <c r="C7" s="50"/>
      <c r="D7" s="49"/>
      <c r="E7" s="49"/>
      <c r="F7" s="49"/>
      <c r="G7" s="49"/>
      <c r="H7" s="21"/>
      <c r="I7" s="21" t="s">
        <v>40</v>
      </c>
      <c r="J7" s="21" t="s">
        <v>41</v>
      </c>
      <c r="K7" s="21" t="s">
        <v>42</v>
      </c>
      <c r="L7" s="21" t="s">
        <v>43</v>
      </c>
      <c r="M7" s="21" t="s">
        <v>44</v>
      </c>
      <c r="N7" s="21" t="s">
        <v>45</v>
      </c>
      <c r="O7" s="21" t="s">
        <v>46</v>
      </c>
      <c r="P7" s="21" t="s">
        <v>47</v>
      </c>
      <c r="Q7" s="21" t="s">
        <v>48</v>
      </c>
      <c r="R7" s="21" t="s">
        <v>49</v>
      </c>
      <c r="S7" s="21" t="s">
        <v>50</v>
      </c>
      <c r="T7" s="7"/>
    </row>
    <row r="8" spans="1:20" ht="15" customHeight="1" x14ac:dyDescent="0.2">
      <c r="A8" s="30">
        <v>8</v>
      </c>
      <c r="B8" s="33"/>
      <c r="C8" s="93"/>
      <c r="D8" s="49"/>
      <c r="E8" s="49"/>
      <c r="F8" s="49"/>
      <c r="G8" s="49"/>
      <c r="H8" s="145" t="str">
        <f>IF(ISNUMBER(#REF!),"for year ended","")</f>
        <v/>
      </c>
      <c r="I8" s="94" t="str">
        <f>IF(ISNUMBER(#REF!),DATE(YEAR(#REF!),MONTH(#REF!),DAY(#REF!))-1,"")</f>
        <v/>
      </c>
      <c r="J8" s="94" t="str">
        <f>IF(ISNUMBER(#REF!),DATE(YEAR(#REF!)+1,MONTH(#REF!),DAY(#REF!))-1,"")</f>
        <v/>
      </c>
      <c r="K8" s="94" t="str">
        <f>IF(ISNUMBER(#REF!),DATE(YEAR(#REF!)+2,MONTH(#REF!),DAY(#REF!))-1,"")</f>
        <v/>
      </c>
      <c r="L8" s="94" t="str">
        <f>IF(ISNUMBER(#REF!),DATE(YEAR(#REF!)+3,MONTH(#REF!),DAY(#REF!))-1,"")</f>
        <v/>
      </c>
      <c r="M8" s="94" t="str">
        <f>IF(ISNUMBER(#REF!),DATE(YEAR(#REF!)+4,MONTH(#REF!),DAY(#REF!))-1,"")</f>
        <v/>
      </c>
      <c r="N8" s="94" t="str">
        <f>IF(ISNUMBER(#REF!),DATE(YEAR(#REF!)+5,MONTH(#REF!),DAY(#REF!))-1,"")</f>
        <v/>
      </c>
      <c r="O8" s="94" t="str">
        <f>IF(ISNUMBER(#REF!),DATE(YEAR(#REF!)+6,MONTH(#REF!),DAY(#REF!))-1,"")</f>
        <v/>
      </c>
      <c r="P8" s="94" t="str">
        <f>IF(ISNUMBER(#REF!),DATE(YEAR(#REF!)+7,MONTH(#REF!),DAY(#REF!))-1,"")</f>
        <v/>
      </c>
      <c r="Q8" s="94" t="str">
        <f>IF(ISNUMBER(#REF!),DATE(YEAR(#REF!)+8,MONTH(#REF!),DAY(#REF!))-1,"")</f>
        <v/>
      </c>
      <c r="R8" s="94" t="str">
        <f>IF(ISNUMBER(#REF!),DATE(YEAR(#REF!)+9,MONTH(#REF!),DAY(#REF!))-1,"")</f>
        <v/>
      </c>
      <c r="S8" s="94" t="str">
        <f>IF(ISNUMBER(#REF!),DATE(YEAR(#REF!)+10,MONTH(#REF!),DAY(#REF!))-1,"")</f>
        <v/>
      </c>
      <c r="T8" s="7"/>
    </row>
    <row r="9" spans="1:20" ht="30" customHeight="1" x14ac:dyDescent="0.25">
      <c r="A9" s="30">
        <v>9</v>
      </c>
      <c r="B9" s="33"/>
      <c r="C9" s="73" t="s">
        <v>149</v>
      </c>
      <c r="D9" s="93"/>
      <c r="E9" s="49"/>
      <c r="F9" s="49"/>
      <c r="G9" s="49"/>
      <c r="H9" s="46"/>
      <c r="I9" s="44" t="s">
        <v>52</v>
      </c>
      <c r="J9" s="94"/>
      <c r="K9" s="94"/>
      <c r="L9" s="94"/>
      <c r="M9" s="94"/>
      <c r="N9" s="94"/>
      <c r="O9" s="94"/>
      <c r="P9" s="94"/>
      <c r="Q9" s="94"/>
      <c r="R9" s="94"/>
      <c r="S9" s="46"/>
      <c r="T9" s="7"/>
    </row>
    <row r="10" spans="1:20" ht="15" customHeight="1" x14ac:dyDescent="0.2">
      <c r="A10" s="30">
        <v>10</v>
      </c>
      <c r="B10" s="33"/>
      <c r="C10" s="77"/>
      <c r="D10" s="77"/>
      <c r="E10" s="52" t="s">
        <v>150</v>
      </c>
      <c r="F10" s="52"/>
      <c r="G10" s="52"/>
      <c r="H10" s="49"/>
      <c r="I10" s="120">
        <v>3447.4059999999999</v>
      </c>
      <c r="J10" s="120">
        <v>3738.1796006088916</v>
      </c>
      <c r="K10" s="120">
        <v>3792.1516252994106</v>
      </c>
      <c r="L10" s="120">
        <v>3883.6898092998126</v>
      </c>
      <c r="M10" s="120">
        <v>3975.4618285993552</v>
      </c>
      <c r="N10" s="120">
        <v>4067.4681394321155</v>
      </c>
      <c r="O10" s="120">
        <v>4201.2517469902659</v>
      </c>
      <c r="P10" s="120">
        <v>4337.5417652268716</v>
      </c>
      <c r="Q10" s="120">
        <v>4476.3777819592151</v>
      </c>
      <c r="R10" s="120">
        <v>4617.7999599373134</v>
      </c>
      <c r="S10" s="120">
        <v>4761.8293985938253</v>
      </c>
      <c r="T10" s="7"/>
    </row>
    <row r="11" spans="1:20" ht="15" customHeight="1" x14ac:dyDescent="0.2">
      <c r="A11" s="30">
        <v>11</v>
      </c>
      <c r="B11" s="33"/>
      <c r="C11" s="77"/>
      <c r="D11" s="77"/>
      <c r="E11" s="52" t="s">
        <v>151</v>
      </c>
      <c r="F11" s="52"/>
      <c r="G11" s="52"/>
      <c r="H11" s="49"/>
      <c r="I11" s="120">
        <v>3927</v>
      </c>
      <c r="J11" s="120">
        <v>4022.6796429308347</v>
      </c>
      <c r="K11" s="120">
        <v>4131.5117181387832</v>
      </c>
      <c r="L11" s="120">
        <v>4173.3856180100447</v>
      </c>
      <c r="M11" s="120">
        <v>4304.199671324106</v>
      </c>
      <c r="N11" s="120">
        <v>4414.05702203908</v>
      </c>
      <c r="O11" s="120">
        <v>4452.4334267569384</v>
      </c>
      <c r="P11" s="120">
        <v>4585.719699717376</v>
      </c>
      <c r="Q11" s="120">
        <v>4696.602325939376</v>
      </c>
      <c r="R11" s="120">
        <v>4731.4812355038302</v>
      </c>
      <c r="S11" s="120">
        <v>4867.2196471032839</v>
      </c>
      <c r="T11" s="7"/>
    </row>
    <row r="12" spans="1:20" ht="15" customHeight="1" x14ac:dyDescent="0.2">
      <c r="A12" s="30">
        <v>12</v>
      </c>
      <c r="B12" s="33"/>
      <c r="C12" s="77"/>
      <c r="D12" s="77"/>
      <c r="E12" s="52" t="s">
        <v>152</v>
      </c>
      <c r="F12" s="52"/>
      <c r="G12" s="52"/>
      <c r="H12" s="49"/>
      <c r="I12" s="120">
        <v>13386.593000000001</v>
      </c>
      <c r="J12" s="120">
        <v>13824.000786741255</v>
      </c>
      <c r="K12" s="120">
        <v>14283.324622590371</v>
      </c>
      <c r="L12" s="120">
        <v>18740.446637097994</v>
      </c>
      <c r="M12" s="120">
        <v>19119.092351879066</v>
      </c>
      <c r="N12" s="120">
        <v>18716.225557808535</v>
      </c>
      <c r="O12" s="120">
        <v>17177.878913121684</v>
      </c>
      <c r="P12" s="120">
        <v>16696.241936377002</v>
      </c>
      <c r="Q12" s="120">
        <v>16610.884005750137</v>
      </c>
      <c r="R12" s="120">
        <v>17749.939566464865</v>
      </c>
      <c r="S12" s="120">
        <v>17642.676747158581</v>
      </c>
      <c r="T12" s="7"/>
    </row>
    <row r="13" spans="1:20" ht="15" customHeight="1" thickBot="1" x14ac:dyDescent="0.25">
      <c r="A13" s="30">
        <v>13</v>
      </c>
      <c r="B13" s="33"/>
      <c r="C13" s="77"/>
      <c r="D13" s="77"/>
      <c r="E13" s="52" t="s">
        <v>55</v>
      </c>
      <c r="F13" s="52"/>
      <c r="G13" s="52"/>
      <c r="H13" s="49"/>
      <c r="I13" s="120">
        <v>0</v>
      </c>
      <c r="J13" s="120">
        <v>0</v>
      </c>
      <c r="K13" s="120">
        <v>0</v>
      </c>
      <c r="L13" s="120">
        <v>0</v>
      </c>
      <c r="M13" s="120">
        <v>0</v>
      </c>
      <c r="N13" s="120">
        <v>0</v>
      </c>
      <c r="O13" s="120">
        <v>0</v>
      </c>
      <c r="P13" s="120">
        <v>0</v>
      </c>
      <c r="Q13" s="120">
        <v>0</v>
      </c>
      <c r="R13" s="120">
        <v>0</v>
      </c>
      <c r="S13" s="120">
        <v>0</v>
      </c>
      <c r="T13" s="7"/>
    </row>
    <row r="14" spans="1:20" ht="15" customHeight="1" thickBot="1" x14ac:dyDescent="0.25">
      <c r="A14" s="30">
        <v>14</v>
      </c>
      <c r="B14" s="33"/>
      <c r="C14" s="77"/>
      <c r="D14" s="45" t="s">
        <v>153</v>
      </c>
      <c r="E14" s="45"/>
      <c r="F14" s="52"/>
      <c r="G14" s="52"/>
      <c r="H14" s="49"/>
      <c r="I14" s="121">
        <f>SUM(I10:I13)</f>
        <v>20760.999</v>
      </c>
      <c r="J14" s="121">
        <f t="shared" ref="J14:S14" si="0">SUM(J10:J13)</f>
        <v>21584.860030280979</v>
      </c>
      <c r="K14" s="121">
        <f t="shared" si="0"/>
        <v>22206.987966028566</v>
      </c>
      <c r="L14" s="121">
        <f t="shared" si="0"/>
        <v>26797.522064407851</v>
      </c>
      <c r="M14" s="121">
        <f t="shared" si="0"/>
        <v>27398.753851802525</v>
      </c>
      <c r="N14" s="121">
        <f t="shared" si="0"/>
        <v>27197.750719279731</v>
      </c>
      <c r="O14" s="121">
        <f t="shared" si="0"/>
        <v>25831.564086868886</v>
      </c>
      <c r="P14" s="121">
        <f t="shared" si="0"/>
        <v>25619.50340132125</v>
      </c>
      <c r="Q14" s="121">
        <f t="shared" si="0"/>
        <v>25783.864113648728</v>
      </c>
      <c r="R14" s="121">
        <f t="shared" si="0"/>
        <v>27099.22076190601</v>
      </c>
      <c r="S14" s="121">
        <f t="shared" si="0"/>
        <v>27271.72579285569</v>
      </c>
      <c r="T14" s="7"/>
    </row>
    <row r="15" spans="1:20" ht="15" customHeight="1" x14ac:dyDescent="0.2">
      <c r="A15" s="30">
        <v>15</v>
      </c>
      <c r="B15" s="33"/>
      <c r="C15" s="77"/>
      <c r="D15" s="77"/>
      <c r="E15" s="52" t="s">
        <v>154</v>
      </c>
      <c r="F15" s="52"/>
      <c r="G15" s="52"/>
      <c r="H15" s="49"/>
      <c r="I15" s="120">
        <v>16398.790279010798</v>
      </c>
      <c r="J15" s="120">
        <v>19226.107255302777</v>
      </c>
      <c r="K15" s="120">
        <v>18397.842907618167</v>
      </c>
      <c r="L15" s="120">
        <v>18123.128522993189</v>
      </c>
      <c r="M15" s="120">
        <v>18522.679938136356</v>
      </c>
      <c r="N15" s="120">
        <v>18859.86965687753</v>
      </c>
      <c r="O15" s="120">
        <v>19554.951063992783</v>
      </c>
      <c r="P15" s="120">
        <v>19450.094973035415</v>
      </c>
      <c r="Q15" s="120">
        <v>19678.598500292155</v>
      </c>
      <c r="R15" s="120">
        <v>20139.985769371018</v>
      </c>
      <c r="S15" s="120">
        <v>20542.785484758435</v>
      </c>
      <c r="T15" s="7"/>
    </row>
    <row r="16" spans="1:20" ht="15" customHeight="1" thickBot="1" x14ac:dyDescent="0.25">
      <c r="A16" s="30">
        <v>16</v>
      </c>
      <c r="B16" s="33"/>
      <c r="C16" s="77"/>
      <c r="D16" s="77"/>
      <c r="E16" s="52" t="s">
        <v>155</v>
      </c>
      <c r="F16" s="52"/>
      <c r="G16" s="52"/>
      <c r="H16" s="49"/>
      <c r="I16" s="120">
        <v>15350.248879230699</v>
      </c>
      <c r="J16" s="120">
        <v>15907.961793964781</v>
      </c>
      <c r="K16" s="120">
        <v>14930.558913233766</v>
      </c>
      <c r="L16" s="120">
        <v>14885.406159932836</v>
      </c>
      <c r="M16" s="120">
        <v>15241.218549494954</v>
      </c>
      <c r="N16" s="120">
        <v>15523.672284972392</v>
      </c>
      <c r="O16" s="120">
        <v>16074.313804228987</v>
      </c>
      <c r="P16" s="120">
        <v>16358.418001972686</v>
      </c>
      <c r="Q16" s="120">
        <v>16620.529073711608</v>
      </c>
      <c r="R16" s="120">
        <v>17016.859575590275</v>
      </c>
      <c r="S16" s="120">
        <v>17387.964619065875</v>
      </c>
      <c r="T16" s="7"/>
    </row>
    <row r="17" spans="1:20" ht="15" customHeight="1" thickBot="1" x14ac:dyDescent="0.25">
      <c r="A17" s="30">
        <v>17</v>
      </c>
      <c r="B17" s="33"/>
      <c r="C17" s="77"/>
      <c r="D17" s="45" t="s">
        <v>156</v>
      </c>
      <c r="E17" s="45"/>
      <c r="F17" s="52"/>
      <c r="G17" s="52"/>
      <c r="H17" s="49"/>
      <c r="I17" s="121">
        <f>SUM(I15:I16)</f>
        <v>31749.039158241496</v>
      </c>
      <c r="J17" s="121">
        <f t="shared" ref="J17:S17" si="1">SUM(J15:J16)</f>
        <v>35134.069049267557</v>
      </c>
      <c r="K17" s="121">
        <f t="shared" si="1"/>
        <v>33328.401820851934</v>
      </c>
      <c r="L17" s="121">
        <f t="shared" si="1"/>
        <v>33008.534682926023</v>
      </c>
      <c r="M17" s="121">
        <f t="shared" si="1"/>
        <v>33763.898487631312</v>
      </c>
      <c r="N17" s="121">
        <f t="shared" si="1"/>
        <v>34383.541941849922</v>
      </c>
      <c r="O17" s="121">
        <f t="shared" si="1"/>
        <v>35629.26486822177</v>
      </c>
      <c r="P17" s="121">
        <f t="shared" si="1"/>
        <v>35808.512975008103</v>
      </c>
      <c r="Q17" s="121">
        <f t="shared" si="1"/>
        <v>36299.127574003767</v>
      </c>
      <c r="R17" s="121">
        <f t="shared" si="1"/>
        <v>37156.845344961293</v>
      </c>
      <c r="S17" s="121">
        <f t="shared" si="1"/>
        <v>37930.750103824306</v>
      </c>
      <c r="T17" s="7"/>
    </row>
    <row r="18" spans="1:20" ht="15" customHeight="1" thickBot="1" x14ac:dyDescent="0.25">
      <c r="A18" s="30">
        <v>18</v>
      </c>
      <c r="B18" s="33"/>
      <c r="C18" s="77"/>
      <c r="D18" s="78" t="s">
        <v>157</v>
      </c>
      <c r="E18" s="78"/>
      <c r="F18" s="52"/>
      <c r="G18" s="52"/>
      <c r="H18" s="49"/>
      <c r="I18" s="121">
        <f>I14+I17</f>
        <v>52510.038158241499</v>
      </c>
      <c r="J18" s="121">
        <f t="shared" ref="J18:S18" si="2">J14+J17</f>
        <v>56718.929079548536</v>
      </c>
      <c r="K18" s="121">
        <f t="shared" si="2"/>
        <v>55535.3897868805</v>
      </c>
      <c r="L18" s="121">
        <f t="shared" si="2"/>
        <v>59806.056747333874</v>
      </c>
      <c r="M18" s="121">
        <f t="shared" si="2"/>
        <v>61162.652339433836</v>
      </c>
      <c r="N18" s="121">
        <f t="shared" si="2"/>
        <v>61581.292661129657</v>
      </c>
      <c r="O18" s="121">
        <f t="shared" si="2"/>
        <v>61460.828955090656</v>
      </c>
      <c r="P18" s="121">
        <f t="shared" si="2"/>
        <v>61428.016376329353</v>
      </c>
      <c r="Q18" s="121">
        <f t="shared" si="2"/>
        <v>62082.991687652495</v>
      </c>
      <c r="R18" s="121">
        <f t="shared" si="2"/>
        <v>64256.066106867307</v>
      </c>
      <c r="S18" s="121">
        <f t="shared" si="2"/>
        <v>65202.47589668</v>
      </c>
      <c r="T18" s="7"/>
    </row>
    <row r="19" spans="1:20" ht="43.5" customHeight="1" x14ac:dyDescent="0.2">
      <c r="A19" s="30">
        <v>19</v>
      </c>
      <c r="B19" s="33"/>
      <c r="C19" s="50"/>
      <c r="D19" s="49"/>
      <c r="E19" s="49"/>
      <c r="F19" s="49"/>
      <c r="G19" s="49"/>
      <c r="H19" s="21"/>
      <c r="I19" s="21" t="s">
        <v>40</v>
      </c>
      <c r="J19" s="21" t="s">
        <v>41</v>
      </c>
      <c r="K19" s="21" t="s">
        <v>42</v>
      </c>
      <c r="L19" s="21" t="s">
        <v>43</v>
      </c>
      <c r="M19" s="21" t="s">
        <v>44</v>
      </c>
      <c r="N19" s="21" t="s">
        <v>45</v>
      </c>
      <c r="O19" s="21" t="s">
        <v>46</v>
      </c>
      <c r="P19" s="21" t="s">
        <v>47</v>
      </c>
      <c r="Q19" s="21" t="s">
        <v>48</v>
      </c>
      <c r="R19" s="21" t="s">
        <v>49</v>
      </c>
      <c r="S19" s="21" t="s">
        <v>50</v>
      </c>
      <c r="T19" s="7"/>
    </row>
    <row r="20" spans="1:20" ht="15" customHeight="1" x14ac:dyDescent="0.2">
      <c r="A20" s="30">
        <v>20</v>
      </c>
      <c r="B20" s="33"/>
      <c r="C20" s="93"/>
      <c r="D20" s="49"/>
      <c r="E20" s="49"/>
      <c r="F20" s="49"/>
      <c r="G20" s="49"/>
      <c r="H20" s="143" t="str">
        <f>IF(ISNUMBER(#REF!),"for year ended","")</f>
        <v/>
      </c>
      <c r="I20" s="94" t="str">
        <f>IF(ISNUMBER(#REF!),DATE(YEAR(#REF!),MONTH(#REF!),DAY(#REF!))-1,"")</f>
        <v/>
      </c>
      <c r="J20" s="94" t="str">
        <f>IF(ISNUMBER(#REF!),DATE(YEAR(#REF!)+1,MONTH(#REF!),DAY(#REF!))-1,"")</f>
        <v/>
      </c>
      <c r="K20" s="94" t="str">
        <f>IF(ISNUMBER(#REF!),DATE(YEAR(#REF!)+2,MONTH(#REF!),DAY(#REF!))-1,"")</f>
        <v/>
      </c>
      <c r="L20" s="94" t="str">
        <f>IF(ISNUMBER(#REF!),DATE(YEAR(#REF!)+3,MONTH(#REF!),DAY(#REF!))-1,"")</f>
        <v/>
      </c>
      <c r="M20" s="94" t="str">
        <f>IF(ISNUMBER(#REF!),DATE(YEAR(#REF!)+4,MONTH(#REF!),DAY(#REF!))-1,"")</f>
        <v/>
      </c>
      <c r="N20" s="94" t="str">
        <f>IF(ISNUMBER(#REF!),DATE(YEAR(#REF!)+5,MONTH(#REF!),DAY(#REF!))-1,"")</f>
        <v/>
      </c>
      <c r="O20" s="94" t="str">
        <f>IF(ISNUMBER(#REF!),DATE(YEAR(#REF!)+6,MONTH(#REF!),DAY(#REF!))-1,"")</f>
        <v/>
      </c>
      <c r="P20" s="94" t="str">
        <f>IF(ISNUMBER(#REF!),DATE(YEAR(#REF!)+7,MONTH(#REF!),DAY(#REF!))-1,"")</f>
        <v/>
      </c>
      <c r="Q20" s="94" t="str">
        <f>IF(ISNUMBER(#REF!),DATE(YEAR(#REF!)+8,MONTH(#REF!),DAY(#REF!))-1,"")</f>
        <v/>
      </c>
      <c r="R20" s="94" t="str">
        <f>IF(ISNUMBER(#REF!),DATE(YEAR(#REF!)+9,MONTH(#REF!),DAY(#REF!))-1,"")</f>
        <v/>
      </c>
      <c r="S20" s="94" t="str">
        <f>IF(ISNUMBER(#REF!),DATE(YEAR(#REF!)+10,MONTH(#REF!),DAY(#REF!))-1,"")</f>
        <v/>
      </c>
      <c r="T20" s="7"/>
    </row>
    <row r="21" spans="1:20" ht="30" customHeight="1" x14ac:dyDescent="0.2">
      <c r="A21" s="30">
        <v>21</v>
      </c>
      <c r="B21" s="33"/>
      <c r="C21" s="77"/>
      <c r="D21" s="77"/>
      <c r="E21" s="78"/>
      <c r="F21" s="49"/>
      <c r="G21" s="49"/>
      <c r="H21" s="49"/>
      <c r="I21" s="44" t="s">
        <v>72</v>
      </c>
      <c r="J21" s="49"/>
      <c r="K21" s="49"/>
      <c r="L21" s="49"/>
      <c r="M21" s="49"/>
      <c r="N21" s="49"/>
      <c r="O21" s="49"/>
      <c r="P21" s="49"/>
      <c r="Q21" s="49"/>
      <c r="R21" s="46"/>
      <c r="S21" s="46"/>
      <c r="T21" s="7"/>
    </row>
    <row r="22" spans="1:20" ht="15" customHeight="1" x14ac:dyDescent="0.2">
      <c r="A22" s="30">
        <v>22</v>
      </c>
      <c r="B22" s="33"/>
      <c r="C22" s="77"/>
      <c r="D22" s="77"/>
      <c r="E22" s="50" t="s">
        <v>150</v>
      </c>
      <c r="F22" s="83"/>
      <c r="G22" s="83"/>
      <c r="H22" s="49"/>
      <c r="I22" s="120">
        <v>3447.4059999999999</v>
      </c>
      <c r="J22" s="120">
        <v>3613.3044515405177</v>
      </c>
      <c r="K22" s="120">
        <v>3581.9155417684037</v>
      </c>
      <c r="L22" s="120">
        <v>3586.6184640372421</v>
      </c>
      <c r="M22" s="120">
        <v>3591.3275610686078</v>
      </c>
      <c r="N22" s="120">
        <v>3596.0428409697365</v>
      </c>
      <c r="O22" s="120">
        <v>3636.7247402682051</v>
      </c>
      <c r="P22" s="120">
        <v>3677.8668723847227</v>
      </c>
      <c r="Q22" s="120">
        <v>3719.4744439160945</v>
      </c>
      <c r="R22" s="120">
        <v>3761.5527203611587</v>
      </c>
      <c r="S22" s="120">
        <v>3804.1070267871469</v>
      </c>
      <c r="T22" s="7"/>
    </row>
    <row r="23" spans="1:20" ht="15" customHeight="1" x14ac:dyDescent="0.2">
      <c r="A23" s="30">
        <v>23</v>
      </c>
      <c r="B23" s="33"/>
      <c r="C23" s="77"/>
      <c r="D23" s="77"/>
      <c r="E23" s="50" t="s">
        <v>151</v>
      </c>
      <c r="F23" s="83"/>
      <c r="G23" s="83"/>
      <c r="H23" s="49"/>
      <c r="I23" s="120">
        <v>3927</v>
      </c>
      <c r="J23" s="120">
        <v>3888.3006740917021</v>
      </c>
      <c r="K23" s="120">
        <v>3902.4615828833448</v>
      </c>
      <c r="L23" s="120">
        <v>3854.1548501786588</v>
      </c>
      <c r="M23" s="120">
        <v>3888.3006740917021</v>
      </c>
      <c r="N23" s="120">
        <v>3902.4615828833448</v>
      </c>
      <c r="O23" s="120">
        <v>3854.1548501786588</v>
      </c>
      <c r="P23" s="120">
        <v>3888.3006740917021</v>
      </c>
      <c r="Q23" s="120">
        <v>3902.4615828833448</v>
      </c>
      <c r="R23" s="120">
        <v>3854.1548501786588</v>
      </c>
      <c r="S23" s="120">
        <v>3888.3006740917021</v>
      </c>
      <c r="T23" s="7"/>
    </row>
    <row r="24" spans="1:20" ht="15" customHeight="1" x14ac:dyDescent="0.2">
      <c r="A24" s="30">
        <v>24</v>
      </c>
      <c r="B24" s="33"/>
      <c r="C24" s="77"/>
      <c r="D24" s="77"/>
      <c r="E24" s="50" t="s">
        <v>152</v>
      </c>
      <c r="F24" s="83"/>
      <c r="G24" s="83"/>
      <c r="H24" s="49"/>
      <c r="I24" s="120">
        <v>13386.592940784931</v>
      </c>
      <c r="J24" s="120">
        <v>13383.852782018956</v>
      </c>
      <c r="K24" s="120">
        <v>13502.911005237356</v>
      </c>
      <c r="L24" s="120">
        <v>17308.906396583032</v>
      </c>
      <c r="M24" s="120">
        <v>17261.498423945934</v>
      </c>
      <c r="N24" s="120">
        <v>16526.1134477087</v>
      </c>
      <c r="O24" s="120">
        <v>14841.349096254569</v>
      </c>
      <c r="P24" s="120">
        <v>14121.315424100876</v>
      </c>
      <c r="Q24" s="120">
        <v>13759.243545732106</v>
      </c>
      <c r="R24" s="120">
        <v>14405.522317726363</v>
      </c>
      <c r="S24" s="120">
        <v>14034.792084749253</v>
      </c>
      <c r="T24" s="7"/>
    </row>
    <row r="25" spans="1:20" ht="15" customHeight="1" thickBot="1" x14ac:dyDescent="0.25">
      <c r="A25" s="30">
        <v>25</v>
      </c>
      <c r="B25" s="33"/>
      <c r="C25" s="77"/>
      <c r="D25" s="77"/>
      <c r="E25" s="50" t="s">
        <v>55</v>
      </c>
      <c r="F25" s="83"/>
      <c r="G25" s="83"/>
      <c r="H25" s="49"/>
      <c r="I25" s="120"/>
      <c r="J25" s="120"/>
      <c r="K25" s="120"/>
      <c r="L25" s="120"/>
      <c r="M25" s="120"/>
      <c r="N25" s="120"/>
      <c r="O25" s="120"/>
      <c r="P25" s="120"/>
      <c r="Q25" s="120"/>
      <c r="R25" s="120"/>
      <c r="S25" s="120"/>
      <c r="T25" s="7"/>
    </row>
    <row r="26" spans="1:20" ht="15" customHeight="1" thickBot="1" x14ac:dyDescent="0.25">
      <c r="A26" s="30">
        <v>26</v>
      </c>
      <c r="B26" s="33"/>
      <c r="C26" s="77"/>
      <c r="D26" s="45" t="s">
        <v>153</v>
      </c>
      <c r="E26" s="45"/>
      <c r="F26" s="52"/>
      <c r="G26" s="52"/>
      <c r="H26" s="49"/>
      <c r="I26" s="121">
        <f t="shared" ref="I26:S26" si="3">SUM(I22:I25)</f>
        <v>20760.998940784932</v>
      </c>
      <c r="J26" s="121">
        <f t="shared" si="3"/>
        <v>20885.457907651176</v>
      </c>
      <c r="K26" s="121">
        <f t="shared" si="3"/>
        <v>20987.288129889104</v>
      </c>
      <c r="L26" s="121">
        <f t="shared" si="3"/>
        <v>24749.679710798933</v>
      </c>
      <c r="M26" s="121">
        <f t="shared" si="3"/>
        <v>24741.126659106245</v>
      </c>
      <c r="N26" s="121">
        <f t="shared" si="3"/>
        <v>24024.617871561779</v>
      </c>
      <c r="O26" s="121">
        <f t="shared" si="3"/>
        <v>22332.228686701434</v>
      </c>
      <c r="P26" s="121">
        <f t="shared" si="3"/>
        <v>21687.482970577301</v>
      </c>
      <c r="Q26" s="121">
        <f t="shared" si="3"/>
        <v>21381.179572531546</v>
      </c>
      <c r="R26" s="121">
        <f t="shared" si="3"/>
        <v>22021.229888266182</v>
      </c>
      <c r="S26" s="121">
        <f t="shared" si="3"/>
        <v>21727.199785628101</v>
      </c>
      <c r="T26" s="7"/>
    </row>
    <row r="27" spans="1:20" ht="15" customHeight="1" x14ac:dyDescent="0.2">
      <c r="A27" s="30">
        <v>27</v>
      </c>
      <c r="B27" s="33"/>
      <c r="C27" s="77"/>
      <c r="D27" s="77"/>
      <c r="E27" s="50" t="s">
        <v>154</v>
      </c>
      <c r="F27" s="83"/>
      <c r="G27" s="83"/>
      <c r="H27" s="49"/>
      <c r="I27" s="120">
        <v>16398.790279010798</v>
      </c>
      <c r="J27" s="120">
        <v>18523.930469363018</v>
      </c>
      <c r="K27" s="120">
        <v>17348.446376471828</v>
      </c>
      <c r="L27" s="120">
        <v>16733.074159561591</v>
      </c>
      <c r="M27" s="120">
        <v>16752.673495797251</v>
      </c>
      <c r="N27" s="120">
        <v>16716.21470189936</v>
      </c>
      <c r="O27" s="120">
        <v>16992.174947733918</v>
      </c>
      <c r="P27" s="120">
        <v>16575.789197273949</v>
      </c>
      <c r="Q27" s="120">
        <v>16453.859895182937</v>
      </c>
      <c r="R27" s="120">
        <v>16527.562229952207</v>
      </c>
      <c r="S27" s="120">
        <v>16551.466918161219</v>
      </c>
      <c r="T27" s="7"/>
    </row>
    <row r="28" spans="1:20" ht="15" customHeight="1" thickBot="1" x14ac:dyDescent="0.25">
      <c r="A28" s="30">
        <v>28</v>
      </c>
      <c r="B28" s="33"/>
      <c r="C28" s="77"/>
      <c r="D28" s="77"/>
      <c r="E28" s="50" t="s">
        <v>155</v>
      </c>
      <c r="F28" s="83"/>
      <c r="G28" s="83"/>
      <c r="H28" s="49"/>
      <c r="I28" s="120">
        <v>15350.248879230699</v>
      </c>
      <c r="J28" s="120">
        <v>15374.12670254729</v>
      </c>
      <c r="K28" s="120">
        <v>14102.709892364741</v>
      </c>
      <c r="L28" s="120">
        <v>13746.758322534679</v>
      </c>
      <c r="M28" s="120">
        <v>13768.598514693414</v>
      </c>
      <c r="N28" s="120">
        <v>13724.726618563831</v>
      </c>
      <c r="O28" s="120">
        <v>13914.608412036761</v>
      </c>
      <c r="P28" s="120">
        <v>13870.983765015286</v>
      </c>
      <c r="Q28" s="120">
        <v>13810.95976323019</v>
      </c>
      <c r="R28" s="120">
        <v>13862.659287911001</v>
      </c>
      <c r="S28" s="120">
        <v>13892.74901245979</v>
      </c>
      <c r="T28" s="7"/>
    </row>
    <row r="29" spans="1:20" ht="15" customHeight="1" thickBot="1" x14ac:dyDescent="0.25">
      <c r="A29" s="30">
        <v>29</v>
      </c>
      <c r="B29" s="33"/>
      <c r="C29" s="77"/>
      <c r="D29" s="45" t="s">
        <v>156</v>
      </c>
      <c r="E29" s="45"/>
      <c r="F29" s="52"/>
      <c r="G29" s="52"/>
      <c r="H29" s="49"/>
      <c r="I29" s="121">
        <f t="shared" ref="I29:S29" si="4">SUM(I27:I28)</f>
        <v>31749.039158241496</v>
      </c>
      <c r="J29" s="121">
        <f t="shared" si="4"/>
        <v>33898.05717191031</v>
      </c>
      <c r="K29" s="121">
        <f t="shared" si="4"/>
        <v>31451.156268836567</v>
      </c>
      <c r="L29" s="121">
        <f t="shared" si="4"/>
        <v>30479.83248209627</v>
      </c>
      <c r="M29" s="121">
        <f t="shared" si="4"/>
        <v>30521.272010490666</v>
      </c>
      <c r="N29" s="121">
        <f t="shared" si="4"/>
        <v>30440.941320463193</v>
      </c>
      <c r="O29" s="121">
        <f t="shared" si="4"/>
        <v>30906.783359770678</v>
      </c>
      <c r="P29" s="121">
        <f t="shared" si="4"/>
        <v>30446.772962289237</v>
      </c>
      <c r="Q29" s="121">
        <f t="shared" si="4"/>
        <v>30264.819658413129</v>
      </c>
      <c r="R29" s="121">
        <f t="shared" si="4"/>
        <v>30390.22151786321</v>
      </c>
      <c r="S29" s="121">
        <f t="shared" si="4"/>
        <v>30444.215930621009</v>
      </c>
      <c r="T29" s="7"/>
    </row>
    <row r="30" spans="1:20" ht="15" customHeight="1" thickBot="1" x14ac:dyDescent="0.25">
      <c r="A30" s="30">
        <v>30</v>
      </c>
      <c r="B30" s="33"/>
      <c r="C30" s="77"/>
      <c r="D30" s="78" t="s">
        <v>157</v>
      </c>
      <c r="E30" s="78"/>
      <c r="F30" s="83"/>
      <c r="G30" s="83"/>
      <c r="H30" s="49"/>
      <c r="I30" s="121">
        <f>I26+I29</f>
        <v>52510.038099026424</v>
      </c>
      <c r="J30" s="121">
        <f t="shared" ref="J30:S30" si="5">J26+J29</f>
        <v>54783.51507956149</v>
      </c>
      <c r="K30" s="121">
        <f t="shared" si="5"/>
        <v>52438.444398725667</v>
      </c>
      <c r="L30" s="121">
        <f t="shared" si="5"/>
        <v>55229.512192895199</v>
      </c>
      <c r="M30" s="121">
        <f t="shared" si="5"/>
        <v>55262.398669596907</v>
      </c>
      <c r="N30" s="121">
        <f t="shared" si="5"/>
        <v>54465.559192024972</v>
      </c>
      <c r="O30" s="121">
        <f t="shared" si="5"/>
        <v>53239.012046472111</v>
      </c>
      <c r="P30" s="121">
        <f t="shared" si="5"/>
        <v>52134.255932866537</v>
      </c>
      <c r="Q30" s="121">
        <f t="shared" si="5"/>
        <v>51645.999230944675</v>
      </c>
      <c r="R30" s="121">
        <f t="shared" si="5"/>
        <v>52411.451406129388</v>
      </c>
      <c r="S30" s="121">
        <f t="shared" si="5"/>
        <v>52171.41571624911</v>
      </c>
      <c r="T30" s="7"/>
    </row>
    <row r="31" spans="1:20" ht="30" customHeight="1" x14ac:dyDescent="0.25">
      <c r="A31" s="30">
        <v>31</v>
      </c>
      <c r="B31" s="33"/>
      <c r="C31" s="76" t="s">
        <v>158</v>
      </c>
      <c r="D31" s="77"/>
      <c r="E31" s="77"/>
      <c r="F31" s="83"/>
      <c r="G31" s="83"/>
      <c r="H31" s="83"/>
      <c r="I31" s="50"/>
      <c r="J31" s="50"/>
      <c r="K31" s="49"/>
      <c r="L31" s="49"/>
      <c r="M31" s="49"/>
      <c r="N31" s="50"/>
      <c r="O31" s="49"/>
      <c r="P31" s="50"/>
      <c r="Q31" s="50"/>
      <c r="R31" s="49"/>
      <c r="S31" s="49"/>
      <c r="T31" s="7"/>
    </row>
    <row r="32" spans="1:20" x14ac:dyDescent="0.2">
      <c r="A32" s="30"/>
      <c r="B32" s="33"/>
      <c r="C32" s="85" t="s">
        <v>159</v>
      </c>
      <c r="D32" s="77"/>
      <c r="E32" s="77"/>
      <c r="F32" s="83"/>
      <c r="G32" s="83"/>
      <c r="H32" s="83"/>
      <c r="I32" s="50"/>
      <c r="J32" s="50"/>
      <c r="K32" s="49"/>
      <c r="L32" s="49"/>
      <c r="M32" s="49"/>
      <c r="N32" s="50"/>
      <c r="O32" s="49"/>
      <c r="P32" s="50"/>
      <c r="Q32" s="50"/>
      <c r="R32" s="49"/>
      <c r="S32" s="49"/>
      <c r="T32" s="7"/>
    </row>
    <row r="33" spans="1:20" ht="15" customHeight="1" x14ac:dyDescent="0.2">
      <c r="A33" s="30">
        <v>32</v>
      </c>
      <c r="B33" s="33"/>
      <c r="C33" s="224"/>
      <c r="D33" s="224"/>
      <c r="E33" s="226" t="s">
        <v>86</v>
      </c>
      <c r="F33" s="82"/>
      <c r="G33" s="104"/>
      <c r="H33" s="83"/>
      <c r="I33" s="50"/>
      <c r="J33" s="50"/>
      <c r="K33" s="49"/>
      <c r="L33" s="49"/>
      <c r="M33" s="49"/>
      <c r="N33" s="50"/>
      <c r="O33" s="49"/>
      <c r="P33" s="50"/>
      <c r="Q33" s="50"/>
      <c r="R33" s="49"/>
      <c r="S33" s="49"/>
      <c r="T33" s="7"/>
    </row>
    <row r="34" spans="1:20" ht="15" customHeight="1" x14ac:dyDescent="0.2">
      <c r="A34" s="30">
        <v>33</v>
      </c>
      <c r="B34" s="33"/>
      <c r="C34" s="224"/>
      <c r="D34" s="224"/>
      <c r="E34" s="226"/>
      <c r="F34" s="82"/>
      <c r="G34" s="104"/>
      <c r="H34" s="49"/>
      <c r="I34" s="120"/>
      <c r="J34" s="120"/>
      <c r="K34" s="120"/>
      <c r="L34" s="120"/>
      <c r="M34" s="120"/>
      <c r="N34" s="120"/>
      <c r="O34" s="120"/>
      <c r="P34" s="120"/>
      <c r="Q34" s="120"/>
      <c r="R34" s="120"/>
      <c r="S34" s="120"/>
      <c r="T34" s="7"/>
    </row>
    <row r="35" spans="1:20" ht="15" customHeight="1" x14ac:dyDescent="0.2">
      <c r="A35" s="30">
        <v>34</v>
      </c>
      <c r="B35" s="33"/>
      <c r="C35" s="77"/>
      <c r="D35" s="77"/>
      <c r="E35" s="81" t="s">
        <v>160</v>
      </c>
      <c r="F35" s="83"/>
      <c r="G35" s="83"/>
      <c r="H35" s="49"/>
      <c r="I35" s="120"/>
      <c r="J35" s="120"/>
      <c r="K35" s="120"/>
      <c r="L35" s="120"/>
      <c r="M35" s="120"/>
      <c r="N35" s="120"/>
      <c r="O35" s="120"/>
      <c r="P35" s="120"/>
      <c r="Q35" s="120"/>
      <c r="R35" s="120"/>
      <c r="S35" s="120"/>
      <c r="T35" s="7"/>
    </row>
    <row r="36" spans="1:20" ht="15" customHeight="1" x14ac:dyDescent="0.2">
      <c r="A36" s="30">
        <v>35</v>
      </c>
      <c r="B36" s="33"/>
      <c r="C36" s="77"/>
      <c r="D36" s="77"/>
      <c r="E36" s="50" t="s">
        <v>161</v>
      </c>
      <c r="F36" s="50"/>
      <c r="G36" s="83"/>
      <c r="H36" s="49"/>
      <c r="I36" s="120"/>
      <c r="J36" s="120"/>
      <c r="K36" s="120"/>
      <c r="L36" s="120"/>
      <c r="M36" s="120"/>
      <c r="N36" s="120"/>
      <c r="O36" s="120"/>
      <c r="P36" s="120"/>
      <c r="Q36" s="120"/>
      <c r="R36" s="120"/>
      <c r="S36" s="120"/>
      <c r="T36" s="7"/>
    </row>
    <row r="37" spans="1:20" ht="15" customHeight="1" x14ac:dyDescent="0.2">
      <c r="A37" s="30">
        <v>36</v>
      </c>
      <c r="B37" s="33"/>
      <c r="C37" s="77"/>
      <c r="D37" s="77"/>
      <c r="E37" s="50" t="s">
        <v>162</v>
      </c>
      <c r="F37" s="50"/>
      <c r="G37" s="83"/>
      <c r="H37" s="49"/>
      <c r="I37" s="120"/>
      <c r="J37" s="120"/>
      <c r="K37" s="120"/>
      <c r="L37" s="120"/>
      <c r="M37" s="120"/>
      <c r="N37" s="120"/>
      <c r="O37" s="120"/>
      <c r="P37" s="120"/>
      <c r="Q37" s="120"/>
      <c r="R37" s="120"/>
      <c r="S37" s="120"/>
      <c r="T37" s="7"/>
    </row>
    <row r="38" spans="1:20" ht="15" customHeight="1" x14ac:dyDescent="0.2">
      <c r="A38" s="30">
        <v>37</v>
      </c>
      <c r="B38" s="33"/>
      <c r="C38" s="77"/>
      <c r="D38" s="77"/>
      <c r="E38" s="50" t="s">
        <v>163</v>
      </c>
      <c r="F38" s="50"/>
      <c r="G38" s="83"/>
      <c r="H38" s="49"/>
      <c r="I38" s="120"/>
      <c r="J38" s="120"/>
      <c r="K38" s="120"/>
      <c r="L38" s="120"/>
      <c r="M38" s="120"/>
      <c r="N38" s="120"/>
      <c r="O38" s="120"/>
      <c r="P38" s="120"/>
      <c r="Q38" s="120"/>
      <c r="R38" s="120"/>
      <c r="S38" s="120"/>
      <c r="T38" s="7"/>
    </row>
    <row r="39" spans="1:20" ht="15" customHeight="1" x14ac:dyDescent="0.2">
      <c r="A39" s="30">
        <v>38</v>
      </c>
      <c r="B39" s="85" t="s">
        <v>164</v>
      </c>
      <c r="C39" s="77"/>
      <c r="D39" s="77"/>
      <c r="E39" s="78"/>
      <c r="F39" s="83"/>
      <c r="G39" s="83"/>
      <c r="H39" s="49"/>
      <c r="I39" s="83"/>
      <c r="J39" s="49"/>
      <c r="K39" s="83"/>
      <c r="L39" s="49"/>
      <c r="M39" s="83"/>
      <c r="N39" s="49"/>
      <c r="O39" s="83"/>
      <c r="P39" s="49"/>
      <c r="Q39" s="83"/>
      <c r="R39" s="49"/>
      <c r="S39" s="49"/>
      <c r="T39" s="7"/>
    </row>
    <row r="40" spans="1:20" ht="15" customHeight="1" x14ac:dyDescent="0.2">
      <c r="A40" s="30">
        <v>39</v>
      </c>
      <c r="B40" s="33"/>
      <c r="C40" s="77"/>
      <c r="D40" s="77"/>
      <c r="E40" s="78"/>
      <c r="F40" s="49"/>
      <c r="G40" s="49"/>
      <c r="H40" s="49"/>
      <c r="I40" s="49"/>
      <c r="J40" s="49"/>
      <c r="K40" s="49"/>
      <c r="L40" s="49"/>
      <c r="M40" s="49"/>
      <c r="N40" s="49"/>
      <c r="O40" s="49"/>
      <c r="P40" s="49"/>
      <c r="Q40" s="49"/>
      <c r="R40" s="49"/>
      <c r="S40" s="49"/>
      <c r="T40" s="7"/>
    </row>
    <row r="41" spans="1:20" ht="15" customHeight="1" x14ac:dyDescent="0.2">
      <c r="A41" s="30">
        <v>40</v>
      </c>
      <c r="B41" s="33"/>
      <c r="C41" s="50"/>
      <c r="D41" s="49"/>
      <c r="E41" s="49"/>
      <c r="F41" s="49"/>
      <c r="G41" s="49"/>
      <c r="H41" s="21"/>
      <c r="I41" s="21" t="s">
        <v>40</v>
      </c>
      <c r="J41" s="21" t="s">
        <v>41</v>
      </c>
      <c r="K41" s="21" t="s">
        <v>42</v>
      </c>
      <c r="L41" s="21" t="s">
        <v>43</v>
      </c>
      <c r="M41" s="21" t="s">
        <v>44</v>
      </c>
      <c r="N41" s="21" t="s">
        <v>45</v>
      </c>
      <c r="O41" s="21" t="s">
        <v>46</v>
      </c>
      <c r="P41" s="21" t="s">
        <v>47</v>
      </c>
      <c r="Q41" s="21" t="s">
        <v>48</v>
      </c>
      <c r="R41" s="21" t="s">
        <v>49</v>
      </c>
      <c r="S41" s="21" t="s">
        <v>50</v>
      </c>
      <c r="T41" s="7"/>
    </row>
    <row r="42" spans="1:20" ht="15" customHeight="1" x14ac:dyDescent="0.2">
      <c r="A42" s="30">
        <v>41</v>
      </c>
      <c r="B42" s="33"/>
      <c r="C42" s="93"/>
      <c r="D42" s="49"/>
      <c r="E42" s="49"/>
      <c r="F42" s="49"/>
      <c r="G42" s="49"/>
      <c r="H42" s="143" t="str">
        <f>IF(ISNUMBER(#REF!),"for year ended","")</f>
        <v/>
      </c>
      <c r="I42" s="94" t="str">
        <f>IF(ISNUMBER(#REF!),DATE(YEAR(#REF!),MONTH(#REF!),DAY(#REF!))-1,"")</f>
        <v/>
      </c>
      <c r="J42" s="94" t="str">
        <f>IF(ISNUMBER(#REF!),DATE(YEAR(#REF!)+1,MONTH(#REF!),DAY(#REF!))-1,"")</f>
        <v/>
      </c>
      <c r="K42" s="94" t="str">
        <f>IF(ISNUMBER(#REF!),DATE(YEAR(#REF!)+2,MONTH(#REF!),DAY(#REF!))-1,"")</f>
        <v/>
      </c>
      <c r="L42" s="94" t="str">
        <f>IF(ISNUMBER(#REF!),DATE(YEAR(#REF!)+3,MONTH(#REF!),DAY(#REF!))-1,"")</f>
        <v/>
      </c>
      <c r="M42" s="94" t="str">
        <f>IF(ISNUMBER(#REF!),DATE(YEAR(#REF!)+4,MONTH(#REF!),DAY(#REF!))-1,"")</f>
        <v/>
      </c>
      <c r="N42" s="94" t="str">
        <f>IF(ISNUMBER(#REF!),DATE(YEAR(#REF!)+5,MONTH(#REF!),DAY(#REF!))-1,"")</f>
        <v/>
      </c>
      <c r="O42" s="94" t="str">
        <f>IF(ISNUMBER(#REF!),DATE(YEAR(#REF!)+6,MONTH(#REF!),DAY(#REF!))-1,"")</f>
        <v/>
      </c>
      <c r="P42" s="94" t="str">
        <f>IF(ISNUMBER(#REF!),DATE(YEAR(#REF!)+7,MONTH(#REF!),DAY(#REF!))-1,"")</f>
        <v/>
      </c>
      <c r="Q42" s="94" t="str">
        <f>IF(ISNUMBER(#REF!),DATE(YEAR(#REF!)+8,MONTH(#REF!),DAY(#REF!))-1,"")</f>
        <v/>
      </c>
      <c r="R42" s="94" t="str">
        <f>IF(ISNUMBER(#REF!),DATE(YEAR(#REF!)+9,MONTH(#REF!),DAY(#REF!))-1,"")</f>
        <v/>
      </c>
      <c r="S42" s="94" t="str">
        <f>IF(ISNUMBER(#REF!),DATE(YEAR(#REF!)+10,MONTH(#REF!),DAY(#REF!))-1,"")</f>
        <v/>
      </c>
      <c r="T42" s="7"/>
    </row>
    <row r="43" spans="1:20" ht="30" customHeight="1" x14ac:dyDescent="0.25">
      <c r="A43" s="30">
        <v>42</v>
      </c>
      <c r="B43" s="33"/>
      <c r="C43" s="76" t="s">
        <v>165</v>
      </c>
      <c r="D43" s="77"/>
      <c r="E43" s="78"/>
      <c r="F43" s="83"/>
      <c r="G43" s="83"/>
      <c r="H43" s="49"/>
      <c r="I43" s="105" t="s">
        <v>90</v>
      </c>
      <c r="J43" s="49"/>
      <c r="K43" s="49"/>
      <c r="L43" s="49"/>
      <c r="M43" s="49"/>
      <c r="N43" s="49"/>
      <c r="O43" s="49"/>
      <c r="P43" s="49"/>
      <c r="Q43" s="49"/>
      <c r="R43" s="49"/>
      <c r="S43" s="49"/>
      <c r="T43" s="7"/>
    </row>
    <row r="44" spans="1:20" ht="15" customHeight="1" x14ac:dyDescent="0.2">
      <c r="A44" s="30">
        <v>43</v>
      </c>
      <c r="B44" s="33"/>
      <c r="C44" s="77"/>
      <c r="D44" s="77"/>
      <c r="E44" s="50" t="s">
        <v>150</v>
      </c>
      <c r="F44" s="83"/>
      <c r="G44" s="83"/>
      <c r="H44" s="49"/>
      <c r="I44" s="123">
        <f t="shared" ref="I44:S44" si="6">I10-I22</f>
        <v>0</v>
      </c>
      <c r="J44" s="123">
        <f t="shared" si="6"/>
        <v>124.87514906837396</v>
      </c>
      <c r="K44" s="123">
        <f t="shared" si="6"/>
        <v>210.2360835310069</v>
      </c>
      <c r="L44" s="123">
        <f t="shared" si="6"/>
        <v>297.0713452625705</v>
      </c>
      <c r="M44" s="123">
        <f t="shared" si="6"/>
        <v>384.13426753074737</v>
      </c>
      <c r="N44" s="123">
        <f t="shared" si="6"/>
        <v>471.42529846237903</v>
      </c>
      <c r="O44" s="123">
        <f t="shared" si="6"/>
        <v>564.52700672206083</v>
      </c>
      <c r="P44" s="123">
        <f t="shared" si="6"/>
        <v>659.67489284214889</v>
      </c>
      <c r="Q44" s="123">
        <f t="shared" si="6"/>
        <v>756.90333804312058</v>
      </c>
      <c r="R44" s="123">
        <f t="shared" si="6"/>
        <v>856.2472395761547</v>
      </c>
      <c r="S44" s="123">
        <f t="shared" si="6"/>
        <v>957.72237180667844</v>
      </c>
      <c r="T44" s="7"/>
    </row>
    <row r="45" spans="1:20" ht="15" customHeight="1" x14ac:dyDescent="0.2">
      <c r="A45" s="30">
        <v>44</v>
      </c>
      <c r="B45" s="33"/>
      <c r="C45" s="77"/>
      <c r="D45" s="77"/>
      <c r="E45" s="50" t="s">
        <v>151</v>
      </c>
      <c r="F45" s="83"/>
      <c r="G45" s="83"/>
      <c r="H45" s="49"/>
      <c r="I45" s="123">
        <f t="shared" ref="I45:S45" si="7">I11-I23</f>
        <v>0</v>
      </c>
      <c r="J45" s="123">
        <f t="shared" si="7"/>
        <v>134.37896883913254</v>
      </c>
      <c r="K45" s="123">
        <f t="shared" si="7"/>
        <v>229.05013525543836</v>
      </c>
      <c r="L45" s="123">
        <f t="shared" si="7"/>
        <v>319.23076783138595</v>
      </c>
      <c r="M45" s="123">
        <f t="shared" si="7"/>
        <v>415.89899723240387</v>
      </c>
      <c r="N45" s="123">
        <f t="shared" si="7"/>
        <v>511.59543915573522</v>
      </c>
      <c r="O45" s="123">
        <f t="shared" si="7"/>
        <v>598.27857657827963</v>
      </c>
      <c r="P45" s="123">
        <f t="shared" si="7"/>
        <v>697.41902562567384</v>
      </c>
      <c r="Q45" s="123">
        <f t="shared" si="7"/>
        <v>794.14074305603117</v>
      </c>
      <c r="R45" s="123">
        <f t="shared" si="7"/>
        <v>877.32638532517149</v>
      </c>
      <c r="S45" s="123">
        <f t="shared" si="7"/>
        <v>978.91897301158178</v>
      </c>
      <c r="T45" s="7"/>
    </row>
    <row r="46" spans="1:20" ht="15" customHeight="1" x14ac:dyDescent="0.2">
      <c r="A46" s="30">
        <v>45</v>
      </c>
      <c r="B46" s="33"/>
      <c r="C46" s="77"/>
      <c r="D46" s="77"/>
      <c r="E46" s="50" t="s">
        <v>152</v>
      </c>
      <c r="F46" s="83"/>
      <c r="G46" s="83"/>
      <c r="H46" s="49"/>
      <c r="I46" s="123">
        <f t="shared" ref="I46:S46" si="8">I12-I24</f>
        <v>5.9215069995843805E-5</v>
      </c>
      <c r="J46" s="123">
        <f t="shared" si="8"/>
        <v>440.14800472229945</v>
      </c>
      <c r="K46" s="123">
        <f t="shared" si="8"/>
        <v>780.41361735301507</v>
      </c>
      <c r="L46" s="123">
        <f t="shared" si="8"/>
        <v>1431.5402405149616</v>
      </c>
      <c r="M46" s="123">
        <f t="shared" si="8"/>
        <v>1857.5939279331324</v>
      </c>
      <c r="N46" s="123">
        <f t="shared" si="8"/>
        <v>2190.1121100998353</v>
      </c>
      <c r="O46" s="123">
        <f t="shared" si="8"/>
        <v>2336.5298168671143</v>
      </c>
      <c r="P46" s="123">
        <f t="shared" si="8"/>
        <v>2574.9265122761262</v>
      </c>
      <c r="Q46" s="123">
        <f t="shared" si="8"/>
        <v>2851.6404600180304</v>
      </c>
      <c r="R46" s="123">
        <f t="shared" si="8"/>
        <v>3344.4172487385022</v>
      </c>
      <c r="S46" s="123">
        <f t="shared" si="8"/>
        <v>3607.8846624093276</v>
      </c>
      <c r="T46" s="7"/>
    </row>
    <row r="47" spans="1:20" ht="15" customHeight="1" thickBot="1" x14ac:dyDescent="0.25">
      <c r="A47" s="30">
        <v>46</v>
      </c>
      <c r="B47" s="33"/>
      <c r="C47" s="77"/>
      <c r="D47" s="77"/>
      <c r="E47" s="50" t="s">
        <v>55</v>
      </c>
      <c r="F47" s="83"/>
      <c r="G47" s="83"/>
      <c r="H47" s="49"/>
      <c r="I47" s="123">
        <f t="shared" ref="I47:S47" si="9">I13-I25</f>
        <v>0</v>
      </c>
      <c r="J47" s="123">
        <f t="shared" si="9"/>
        <v>0</v>
      </c>
      <c r="K47" s="123">
        <f t="shared" si="9"/>
        <v>0</v>
      </c>
      <c r="L47" s="123">
        <f t="shared" si="9"/>
        <v>0</v>
      </c>
      <c r="M47" s="123">
        <f t="shared" si="9"/>
        <v>0</v>
      </c>
      <c r="N47" s="123">
        <f t="shared" si="9"/>
        <v>0</v>
      </c>
      <c r="O47" s="123">
        <f t="shared" si="9"/>
        <v>0</v>
      </c>
      <c r="P47" s="123">
        <f t="shared" si="9"/>
        <v>0</v>
      </c>
      <c r="Q47" s="123">
        <f t="shared" si="9"/>
        <v>0</v>
      </c>
      <c r="R47" s="123">
        <f t="shared" si="9"/>
        <v>0</v>
      </c>
      <c r="S47" s="123">
        <f t="shared" si="9"/>
        <v>0</v>
      </c>
      <c r="T47" s="7"/>
    </row>
    <row r="48" spans="1:20" ht="15" customHeight="1" thickBot="1" x14ac:dyDescent="0.25">
      <c r="A48" s="30">
        <v>47</v>
      </c>
      <c r="B48" s="33"/>
      <c r="C48" s="77"/>
      <c r="D48" s="45" t="s">
        <v>153</v>
      </c>
      <c r="E48" s="45"/>
      <c r="F48" s="52"/>
      <c r="G48" s="52"/>
      <c r="H48" s="49"/>
      <c r="I48" s="121">
        <f>I14-I26</f>
        <v>5.9215068176854402E-5</v>
      </c>
      <c r="J48" s="121">
        <f t="shared" ref="J48:S48" si="10">J14-J26</f>
        <v>699.40212262980276</v>
      </c>
      <c r="K48" s="121">
        <f t="shared" si="10"/>
        <v>1219.6998361394617</v>
      </c>
      <c r="L48" s="121">
        <f t="shared" si="10"/>
        <v>2047.8423536089176</v>
      </c>
      <c r="M48" s="121">
        <f t="shared" si="10"/>
        <v>2657.62719269628</v>
      </c>
      <c r="N48" s="121">
        <f t="shared" si="10"/>
        <v>3173.1328477179522</v>
      </c>
      <c r="O48" s="121">
        <f t="shared" si="10"/>
        <v>3499.3354001674525</v>
      </c>
      <c r="P48" s="121">
        <f t="shared" si="10"/>
        <v>3932.020430743949</v>
      </c>
      <c r="Q48" s="121">
        <f t="shared" si="10"/>
        <v>4402.6845411171817</v>
      </c>
      <c r="R48" s="121">
        <f t="shared" si="10"/>
        <v>5077.9908736398284</v>
      </c>
      <c r="S48" s="121">
        <f t="shared" si="10"/>
        <v>5544.5260072275887</v>
      </c>
      <c r="T48" s="7"/>
    </row>
    <row r="49" spans="1:20" ht="15" customHeight="1" x14ac:dyDescent="0.2">
      <c r="A49" s="30">
        <v>48</v>
      </c>
      <c r="B49" s="33"/>
      <c r="C49" s="77"/>
      <c r="D49" s="77"/>
      <c r="E49" s="50" t="s">
        <v>154</v>
      </c>
      <c r="F49" s="83"/>
      <c r="G49" s="83"/>
      <c r="H49" s="49"/>
      <c r="I49" s="123">
        <f t="shared" ref="I49:S49" si="11">I15-I27</f>
        <v>0</v>
      </c>
      <c r="J49" s="123">
        <f t="shared" si="11"/>
        <v>702.1767859397587</v>
      </c>
      <c r="K49" s="123">
        <f t="shared" si="11"/>
        <v>1049.3965311463398</v>
      </c>
      <c r="L49" s="123">
        <f t="shared" si="11"/>
        <v>1390.0543634315982</v>
      </c>
      <c r="M49" s="123">
        <f t="shared" si="11"/>
        <v>1770.006442339105</v>
      </c>
      <c r="N49" s="123">
        <f t="shared" si="11"/>
        <v>2143.6549549781703</v>
      </c>
      <c r="O49" s="123">
        <f t="shared" si="11"/>
        <v>2562.7761162588649</v>
      </c>
      <c r="P49" s="123">
        <f t="shared" si="11"/>
        <v>2874.3057757614661</v>
      </c>
      <c r="Q49" s="123">
        <f t="shared" si="11"/>
        <v>3224.738605109218</v>
      </c>
      <c r="R49" s="123">
        <f t="shared" si="11"/>
        <v>3612.4235394188108</v>
      </c>
      <c r="S49" s="123">
        <f t="shared" si="11"/>
        <v>3991.318566597216</v>
      </c>
      <c r="T49" s="7"/>
    </row>
    <row r="50" spans="1:20" ht="15" customHeight="1" thickBot="1" x14ac:dyDescent="0.25">
      <c r="A50" s="30">
        <v>49</v>
      </c>
      <c r="B50" s="33"/>
      <c r="C50" s="77"/>
      <c r="D50" s="77"/>
      <c r="E50" s="50" t="s">
        <v>155</v>
      </c>
      <c r="F50" s="83"/>
      <c r="G50" s="83"/>
      <c r="H50" s="49"/>
      <c r="I50" s="123">
        <f t="shared" ref="I50:S50" si="12">I16-I28</f>
        <v>0</v>
      </c>
      <c r="J50" s="123">
        <f t="shared" si="12"/>
        <v>533.83509141749164</v>
      </c>
      <c r="K50" s="123">
        <f t="shared" si="12"/>
        <v>827.84902086902548</v>
      </c>
      <c r="L50" s="123">
        <f t="shared" si="12"/>
        <v>1138.6478373981572</v>
      </c>
      <c r="M50" s="123">
        <f t="shared" si="12"/>
        <v>1472.6200348015391</v>
      </c>
      <c r="N50" s="123">
        <f t="shared" si="12"/>
        <v>1798.945666408561</v>
      </c>
      <c r="O50" s="123">
        <f t="shared" si="12"/>
        <v>2159.7053921922252</v>
      </c>
      <c r="P50" s="123">
        <f t="shared" si="12"/>
        <v>2487.4342369574006</v>
      </c>
      <c r="Q50" s="123">
        <f t="shared" si="12"/>
        <v>2809.5693104814181</v>
      </c>
      <c r="R50" s="123">
        <f t="shared" si="12"/>
        <v>3154.200287679274</v>
      </c>
      <c r="S50" s="123">
        <f t="shared" si="12"/>
        <v>3495.2156066060852</v>
      </c>
      <c r="T50" s="7"/>
    </row>
    <row r="51" spans="1:20" ht="15" customHeight="1" thickBot="1" x14ac:dyDescent="0.25">
      <c r="A51" s="30">
        <v>50</v>
      </c>
      <c r="B51" s="33"/>
      <c r="C51" s="77"/>
      <c r="D51" s="45" t="s">
        <v>156</v>
      </c>
      <c r="E51" s="45"/>
      <c r="F51" s="52"/>
      <c r="G51" s="52"/>
      <c r="H51" s="49"/>
      <c r="I51" s="172">
        <f>I17-I29</f>
        <v>0</v>
      </c>
      <c r="J51" s="172">
        <f t="shared" ref="J51:S51" si="13">J17-J29</f>
        <v>1236.0118773572467</v>
      </c>
      <c r="K51" s="172">
        <f t="shared" si="13"/>
        <v>1877.2455520153671</v>
      </c>
      <c r="L51" s="172">
        <f t="shared" si="13"/>
        <v>2528.7022008297536</v>
      </c>
      <c r="M51" s="172">
        <f t="shared" si="13"/>
        <v>3242.6264771406459</v>
      </c>
      <c r="N51" s="172">
        <f t="shared" si="13"/>
        <v>3942.6006213867295</v>
      </c>
      <c r="O51" s="172">
        <f t="shared" si="13"/>
        <v>4722.4815084510919</v>
      </c>
      <c r="P51" s="172">
        <f t="shared" si="13"/>
        <v>5361.7400127188666</v>
      </c>
      <c r="Q51" s="172">
        <f t="shared" si="13"/>
        <v>6034.307915590638</v>
      </c>
      <c r="R51" s="172">
        <f t="shared" si="13"/>
        <v>6766.623827098083</v>
      </c>
      <c r="S51" s="172">
        <f t="shared" si="13"/>
        <v>7486.5341732032975</v>
      </c>
      <c r="T51" s="7"/>
    </row>
    <row r="52" spans="1:20" ht="15" customHeight="1" thickBot="1" x14ac:dyDescent="0.25">
      <c r="A52" s="30">
        <v>51</v>
      </c>
      <c r="B52" s="33"/>
      <c r="C52" s="77"/>
      <c r="D52" s="90" t="s">
        <v>157</v>
      </c>
      <c r="E52" s="78"/>
      <c r="F52" s="83"/>
      <c r="G52" s="83"/>
      <c r="H52" s="49"/>
      <c r="I52" s="121">
        <f>I48+I51</f>
        <v>5.9215068176854402E-5</v>
      </c>
      <c r="J52" s="121">
        <f t="shared" ref="J52:S52" si="14">J48+J51</f>
        <v>1935.4139999870495</v>
      </c>
      <c r="K52" s="121">
        <f t="shared" si="14"/>
        <v>3096.9453881548288</v>
      </c>
      <c r="L52" s="121">
        <f t="shared" si="14"/>
        <v>4576.5445544386712</v>
      </c>
      <c r="M52" s="121">
        <f t="shared" si="14"/>
        <v>5900.2536698369258</v>
      </c>
      <c r="N52" s="121">
        <f t="shared" si="14"/>
        <v>7115.7334691046817</v>
      </c>
      <c r="O52" s="121">
        <f t="shared" si="14"/>
        <v>8221.8169086185444</v>
      </c>
      <c r="P52" s="121">
        <f t="shared" si="14"/>
        <v>9293.7604434628156</v>
      </c>
      <c r="Q52" s="121">
        <f t="shared" si="14"/>
        <v>10436.99245670782</v>
      </c>
      <c r="R52" s="121">
        <f t="shared" si="14"/>
        <v>11844.614700737911</v>
      </c>
      <c r="S52" s="121">
        <f t="shared" si="14"/>
        <v>13031.060180430886</v>
      </c>
      <c r="T52" s="7"/>
    </row>
    <row r="53" spans="1:20" ht="15" customHeight="1" x14ac:dyDescent="0.2">
      <c r="A53" s="30">
        <v>52</v>
      </c>
      <c r="B53" s="33"/>
      <c r="C53" s="77"/>
      <c r="D53" s="90"/>
      <c r="E53" s="78"/>
      <c r="F53" s="83"/>
      <c r="G53" s="83"/>
      <c r="H53" s="49"/>
      <c r="I53" s="171"/>
      <c r="J53" s="171"/>
      <c r="K53" s="171"/>
      <c r="L53" s="171"/>
      <c r="M53" s="171"/>
      <c r="N53" s="171"/>
      <c r="O53" s="171"/>
      <c r="P53" s="171"/>
      <c r="Q53" s="171"/>
      <c r="R53" s="171"/>
      <c r="S53" s="171"/>
      <c r="T53" s="7"/>
    </row>
    <row r="54" spans="1:20" ht="15" customHeight="1" x14ac:dyDescent="0.25">
      <c r="A54" s="30">
        <v>53</v>
      </c>
      <c r="B54" s="33"/>
      <c r="C54" s="76" t="s">
        <v>91</v>
      </c>
      <c r="D54" s="90"/>
      <c r="E54" s="78"/>
      <c r="F54" s="83"/>
      <c r="G54" s="83"/>
      <c r="H54" s="49"/>
      <c r="I54" s="171"/>
      <c r="J54" s="171"/>
      <c r="K54" s="171"/>
      <c r="L54" s="171"/>
      <c r="M54" s="171"/>
      <c r="N54" s="171"/>
      <c r="O54" s="171"/>
      <c r="P54" s="171"/>
      <c r="Q54" s="171"/>
      <c r="R54" s="171"/>
      <c r="S54" s="171"/>
      <c r="T54" s="7"/>
    </row>
    <row r="55" spans="1:20" ht="15" customHeight="1" x14ac:dyDescent="0.2">
      <c r="A55" s="30">
        <v>54</v>
      </c>
      <c r="B55" s="33"/>
      <c r="C55" s="77"/>
      <c r="D55" s="90"/>
      <c r="E55" s="85" t="s">
        <v>592</v>
      </c>
      <c r="F55" s="83"/>
      <c r="G55" s="83"/>
      <c r="H55" s="49"/>
      <c r="I55" s="171"/>
      <c r="J55" s="171"/>
      <c r="K55" s="171"/>
      <c r="L55" s="171"/>
      <c r="M55" s="171"/>
      <c r="N55" s="171"/>
      <c r="O55" s="171"/>
      <c r="P55" s="171"/>
      <c r="Q55" s="171"/>
      <c r="R55" s="171"/>
      <c r="S55" s="171"/>
      <c r="T55" s="7"/>
    </row>
    <row r="56" spans="1:20" ht="15" customHeight="1" x14ac:dyDescent="0.2">
      <c r="A56" s="30">
        <v>55</v>
      </c>
      <c r="B56" s="33"/>
      <c r="C56" s="77"/>
      <c r="D56" s="90"/>
      <c r="E56" s="78"/>
      <c r="F56" s="83"/>
      <c r="G56" s="83"/>
      <c r="H56" s="49"/>
      <c r="I56" s="171"/>
      <c r="J56" s="171"/>
      <c r="K56" s="171"/>
      <c r="L56" s="171"/>
      <c r="M56" s="171"/>
      <c r="N56" s="171"/>
      <c r="O56" s="171"/>
      <c r="P56" s="171"/>
      <c r="Q56" s="171"/>
      <c r="R56" s="171"/>
      <c r="S56" s="171"/>
      <c r="T56" s="7"/>
    </row>
  </sheetData>
  <sheetProtection formatRows="0" insertRows="0"/>
  <mergeCells count="5">
    <mergeCell ref="C33:D34"/>
    <mergeCell ref="Q2:S2"/>
    <mergeCell ref="Q3:S3"/>
    <mergeCell ref="A5:S5"/>
    <mergeCell ref="E33:E34"/>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4:S38" xr:uid="{00000000-0002-0000-0400-000000000000}">
      <formula1>OR(AND(ISNUMBER(I34),I34&gt;=0),AND(ISTEXT(I34),I34="N/A"))</formula1>
    </dataValidation>
  </dataValidations>
  <pageMargins left="0.70866141732283472" right="0.70866141732283472" top="0.74803149606299213" bottom="0.74803149606299213" header="0.31496062992125989" footer="0.31496062992125989"/>
  <pageSetup paperSize="9" scale="4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topLeftCell="A49" zoomScaleNormal="100" zoomScaleSheetLayoutView="100" workbookViewId="0">
      <selection activeCell="M39" sqref="M39:M64"/>
    </sheetView>
  </sheetViews>
  <sheetFormatPr defaultRowHeight="12.75" x14ac:dyDescent="0.2"/>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2">
      <c r="A1" s="113"/>
      <c r="B1" s="18"/>
      <c r="C1" s="18"/>
      <c r="D1" s="18"/>
      <c r="E1" s="18"/>
      <c r="F1" s="18"/>
      <c r="G1" s="18"/>
      <c r="H1" s="18"/>
      <c r="I1" s="18"/>
      <c r="J1" s="27"/>
      <c r="K1" s="18"/>
      <c r="L1" s="18"/>
      <c r="M1" s="18"/>
      <c r="N1" s="18"/>
      <c r="O1" s="19"/>
    </row>
    <row r="2" spans="1:15" ht="18" customHeight="1" x14ac:dyDescent="0.3">
      <c r="A2" s="114"/>
      <c r="B2" s="37"/>
      <c r="C2" s="37"/>
      <c r="D2" s="37"/>
      <c r="E2" s="37"/>
      <c r="F2" s="37"/>
      <c r="G2" s="37"/>
      <c r="H2" s="37"/>
      <c r="I2" s="37"/>
      <c r="J2" s="31" t="s">
        <v>1</v>
      </c>
      <c r="K2" s="215" t="str">
        <f>IF(NOT(ISBLANK(CoverSheet!$C$8)),CoverSheet!$C$8,"")</f>
        <v>Aurora Energy Limited</v>
      </c>
      <c r="L2" s="215"/>
      <c r="M2" s="215"/>
      <c r="N2" s="215"/>
      <c r="O2" s="12"/>
    </row>
    <row r="3" spans="1:15" ht="18" customHeight="1" x14ac:dyDescent="0.25">
      <c r="A3" s="114"/>
      <c r="B3" s="37"/>
      <c r="C3" s="37"/>
      <c r="D3" s="37"/>
      <c r="E3" s="37"/>
      <c r="F3" s="37"/>
      <c r="G3" s="37"/>
      <c r="H3" s="37"/>
      <c r="I3" s="37"/>
      <c r="J3" s="31" t="s">
        <v>37</v>
      </c>
      <c r="K3" s="225" t="str">
        <f>IF(ISNUMBER(CoverSheet!$C$12),TEXT(CoverSheet!$C$12,"_([$-1409]d mmmm yyyy;_(@")&amp;" –"&amp;TEXT(DATE(YEAR(CoverSheet!$C$12)+10,MONTH(CoverSheet!$C$12),DAY(CoverSheet!$C$12)-1),"_([$-1409]d mmmm yyyy;_(@"),"")</f>
        <v xml:space="preserve"> 1 April 2024 – 31 March 2034</v>
      </c>
      <c r="L3" s="225"/>
      <c r="M3" s="225"/>
      <c r="N3" s="225"/>
      <c r="O3" s="12"/>
    </row>
    <row r="4" spans="1:15" ht="21" x14ac:dyDescent="0.35">
      <c r="A4" s="54" t="s">
        <v>166</v>
      </c>
      <c r="B4" s="40"/>
      <c r="C4" s="37"/>
      <c r="D4" s="37"/>
      <c r="E4" s="37"/>
      <c r="F4" s="37"/>
      <c r="G4" s="37"/>
      <c r="H4" s="37"/>
      <c r="I4" s="37"/>
      <c r="J4" s="37"/>
      <c r="K4" s="37"/>
      <c r="L4" s="37"/>
      <c r="M4" s="37"/>
      <c r="N4" s="37"/>
      <c r="O4" s="12"/>
    </row>
    <row r="5" spans="1:15" s="3" customFormat="1" ht="49.5" customHeight="1" x14ac:dyDescent="0.2">
      <c r="A5" s="230" t="s">
        <v>167</v>
      </c>
      <c r="B5" s="231"/>
      <c r="C5" s="231"/>
      <c r="D5" s="231"/>
      <c r="E5" s="231"/>
      <c r="F5" s="231"/>
      <c r="G5" s="231"/>
      <c r="H5" s="231"/>
      <c r="I5" s="231"/>
      <c r="J5" s="231"/>
      <c r="K5" s="231"/>
      <c r="L5" s="231"/>
      <c r="M5" s="231"/>
      <c r="N5" s="231"/>
      <c r="O5" s="32"/>
    </row>
    <row r="6" spans="1:15" ht="15" customHeight="1" x14ac:dyDescent="0.2">
      <c r="A6" s="115" t="s">
        <v>39</v>
      </c>
      <c r="B6" s="38"/>
      <c r="C6" s="38"/>
      <c r="D6" s="37"/>
      <c r="E6" s="37"/>
      <c r="F6" s="37"/>
      <c r="G6" s="37"/>
      <c r="H6" s="37"/>
      <c r="I6" s="37"/>
      <c r="J6" s="37"/>
      <c r="K6" s="37"/>
      <c r="L6" s="37"/>
      <c r="M6" s="37"/>
      <c r="N6" s="37"/>
      <c r="O6" s="12"/>
    </row>
    <row r="7" spans="1:15" ht="15.75" x14ac:dyDescent="0.25">
      <c r="A7" s="116">
        <v>7</v>
      </c>
      <c r="B7" s="74"/>
      <c r="C7" s="49"/>
      <c r="D7" s="49"/>
      <c r="E7" s="49"/>
      <c r="F7" s="49"/>
      <c r="G7" s="227" t="s">
        <v>168</v>
      </c>
      <c r="H7" s="227"/>
      <c r="I7" s="227"/>
      <c r="J7" s="227"/>
      <c r="K7" s="227"/>
      <c r="L7" s="227"/>
      <c r="M7" s="227"/>
      <c r="N7" s="227"/>
      <c r="O7" s="7"/>
    </row>
    <row r="8" spans="1:15" ht="15.75" x14ac:dyDescent="0.25">
      <c r="A8" s="116">
        <v>8</v>
      </c>
      <c r="B8" s="74"/>
      <c r="C8" s="49"/>
      <c r="D8" s="49"/>
      <c r="E8" s="49"/>
      <c r="F8" s="49"/>
      <c r="G8" s="86"/>
      <c r="H8" s="86"/>
      <c r="I8" s="86"/>
      <c r="J8" s="86"/>
      <c r="K8" s="86"/>
      <c r="L8" s="86"/>
      <c r="M8" s="49"/>
      <c r="N8" s="228" t="s">
        <v>169</v>
      </c>
      <c r="O8" s="7"/>
    </row>
    <row r="9" spans="1:15" s="5" customFormat="1" ht="49.5" customHeight="1" x14ac:dyDescent="0.2">
      <c r="A9" s="116">
        <v>9</v>
      </c>
      <c r="B9" s="75"/>
      <c r="C9" s="106" t="s">
        <v>170</v>
      </c>
      <c r="D9" s="106" t="s">
        <v>171</v>
      </c>
      <c r="E9" s="106" t="s">
        <v>172</v>
      </c>
      <c r="F9" s="103" t="s">
        <v>173</v>
      </c>
      <c r="G9" s="169" t="s">
        <v>174</v>
      </c>
      <c r="H9" s="169" t="s">
        <v>175</v>
      </c>
      <c r="I9" s="169" t="s">
        <v>176</v>
      </c>
      <c r="J9" s="169" t="s">
        <v>177</v>
      </c>
      <c r="K9" s="169" t="s">
        <v>178</v>
      </c>
      <c r="L9" s="103" t="s">
        <v>179</v>
      </c>
      <c r="M9" s="103" t="s">
        <v>180</v>
      </c>
      <c r="N9" s="229"/>
      <c r="O9" s="16"/>
    </row>
    <row r="10" spans="1:15" ht="15" customHeight="1" x14ac:dyDescent="0.25">
      <c r="A10" s="116">
        <v>10</v>
      </c>
      <c r="B10" s="74"/>
      <c r="C10" s="50" t="s">
        <v>181</v>
      </c>
      <c r="D10" s="50" t="s">
        <v>182</v>
      </c>
      <c r="E10" s="50" t="s">
        <v>183</v>
      </c>
      <c r="F10" s="79" t="s">
        <v>184</v>
      </c>
      <c r="G10" s="132">
        <v>1.1666720679262405E-3</v>
      </c>
      <c r="H10" s="132">
        <v>1.1342645104838449E-2</v>
      </c>
      <c r="I10" s="132">
        <v>3.1759406293547657E-3</v>
      </c>
      <c r="J10" s="132">
        <v>0.75597109245876137</v>
      </c>
      <c r="K10" s="132">
        <v>0.22834364973911916</v>
      </c>
      <c r="L10" s="132">
        <v>0</v>
      </c>
      <c r="M10" s="111">
        <v>3</v>
      </c>
      <c r="N10" s="132">
        <v>2.6541789545321968E-2</v>
      </c>
      <c r="O10" s="7"/>
    </row>
    <row r="11" spans="1:15" ht="15" customHeight="1" x14ac:dyDescent="0.25">
      <c r="A11" s="116">
        <v>11</v>
      </c>
      <c r="B11" s="74"/>
      <c r="C11" s="50" t="s">
        <v>181</v>
      </c>
      <c r="D11" s="50" t="s">
        <v>182</v>
      </c>
      <c r="E11" s="50" t="s">
        <v>185</v>
      </c>
      <c r="F11" s="79" t="s">
        <v>184</v>
      </c>
      <c r="G11" s="132">
        <v>3.6736306179775281E-2</v>
      </c>
      <c r="H11" s="132">
        <v>3.4717345505617975E-2</v>
      </c>
      <c r="I11" s="132">
        <v>0.22682584269662923</v>
      </c>
      <c r="J11" s="132">
        <v>0.5344101123595506</v>
      </c>
      <c r="K11" s="132">
        <v>0.16731039325842698</v>
      </c>
      <c r="L11" s="132">
        <v>0</v>
      </c>
      <c r="M11" s="111">
        <v>3</v>
      </c>
      <c r="N11" s="132">
        <v>0.15357268258426968</v>
      </c>
      <c r="O11" s="7"/>
    </row>
    <row r="12" spans="1:15" ht="15" customHeight="1" x14ac:dyDescent="0.25">
      <c r="A12" s="116">
        <v>12</v>
      </c>
      <c r="B12" s="74"/>
      <c r="C12" s="50" t="s">
        <v>181</v>
      </c>
      <c r="D12" s="50" t="s">
        <v>182</v>
      </c>
      <c r="E12" s="50" t="s">
        <v>186</v>
      </c>
      <c r="F12" s="79" t="s">
        <v>184</v>
      </c>
      <c r="G12" s="132">
        <v>0</v>
      </c>
      <c r="H12" s="132">
        <v>0</v>
      </c>
      <c r="I12" s="132">
        <v>0</v>
      </c>
      <c r="J12" s="132">
        <v>0</v>
      </c>
      <c r="K12" s="132">
        <v>0</v>
      </c>
      <c r="L12" s="132">
        <v>0</v>
      </c>
      <c r="M12" s="111" t="s">
        <v>610</v>
      </c>
      <c r="N12" s="132">
        <v>0</v>
      </c>
      <c r="O12" s="7"/>
    </row>
    <row r="13" spans="1:15" ht="15" customHeight="1" x14ac:dyDescent="0.25">
      <c r="A13" s="116">
        <v>13</v>
      </c>
      <c r="B13" s="74"/>
      <c r="C13" s="50" t="s">
        <v>187</v>
      </c>
      <c r="D13" s="50" t="s">
        <v>188</v>
      </c>
      <c r="E13" s="50" t="s">
        <v>189</v>
      </c>
      <c r="F13" s="79" t="s">
        <v>190</v>
      </c>
      <c r="G13" s="132">
        <v>0.16501113709033297</v>
      </c>
      <c r="H13" s="132">
        <v>3.6239815403476594E-2</v>
      </c>
      <c r="I13" s="132">
        <v>6.9895923621247371E-4</v>
      </c>
      <c r="J13" s="132">
        <v>0.10280637422588533</v>
      </c>
      <c r="K13" s="132">
        <v>0.69524371404409224</v>
      </c>
      <c r="L13" s="132">
        <v>0</v>
      </c>
      <c r="M13" s="111">
        <v>2</v>
      </c>
      <c r="N13" s="132">
        <v>6.7094833851866029E-2</v>
      </c>
      <c r="O13" s="7"/>
    </row>
    <row r="14" spans="1:15" ht="15" customHeight="1" x14ac:dyDescent="0.25">
      <c r="A14" s="116">
        <v>14</v>
      </c>
      <c r="B14" s="74"/>
      <c r="C14" s="50" t="s">
        <v>187</v>
      </c>
      <c r="D14" s="50" t="s">
        <v>188</v>
      </c>
      <c r="E14" s="50" t="s">
        <v>191</v>
      </c>
      <c r="F14" s="79" t="s">
        <v>190</v>
      </c>
      <c r="G14" s="132">
        <v>0</v>
      </c>
      <c r="H14" s="132">
        <v>0</v>
      </c>
      <c r="I14" s="132">
        <v>0</v>
      </c>
      <c r="J14" s="132">
        <v>0</v>
      </c>
      <c r="K14" s="132">
        <v>0</v>
      </c>
      <c r="L14" s="132">
        <v>0</v>
      </c>
      <c r="M14" s="111" t="s">
        <v>610</v>
      </c>
      <c r="N14" s="132">
        <v>0</v>
      </c>
      <c r="O14" s="7"/>
    </row>
    <row r="15" spans="1:15" ht="15" customHeight="1" x14ac:dyDescent="0.25">
      <c r="A15" s="116">
        <v>15</v>
      </c>
      <c r="B15" s="74"/>
      <c r="C15" s="50" t="s">
        <v>187</v>
      </c>
      <c r="D15" s="50" t="s">
        <v>192</v>
      </c>
      <c r="E15" s="50" t="s">
        <v>193</v>
      </c>
      <c r="F15" s="79" t="s">
        <v>190</v>
      </c>
      <c r="G15" s="132">
        <v>4.6118692744691103E-4</v>
      </c>
      <c r="H15" s="132">
        <v>0</v>
      </c>
      <c r="I15" s="132">
        <v>0</v>
      </c>
      <c r="J15" s="132">
        <v>3.0029557889440915E-2</v>
      </c>
      <c r="K15" s="132">
        <v>0.96950925518311215</v>
      </c>
      <c r="L15" s="132">
        <v>0</v>
      </c>
      <c r="M15" s="111">
        <v>2</v>
      </c>
      <c r="N15" s="132">
        <v>4.6118692744691103E-4</v>
      </c>
      <c r="O15" s="7"/>
    </row>
    <row r="16" spans="1:15" ht="15" customHeight="1" x14ac:dyDescent="0.25">
      <c r="A16" s="116">
        <v>16</v>
      </c>
      <c r="B16" s="74"/>
      <c r="C16" s="50" t="s">
        <v>187</v>
      </c>
      <c r="D16" s="50" t="s">
        <v>192</v>
      </c>
      <c r="E16" s="50" t="s">
        <v>194</v>
      </c>
      <c r="F16" s="79" t="s">
        <v>190</v>
      </c>
      <c r="G16" s="132">
        <v>0</v>
      </c>
      <c r="H16" s="132">
        <v>0</v>
      </c>
      <c r="I16" s="132">
        <v>0.33000037589745518</v>
      </c>
      <c r="J16" s="132">
        <v>0</v>
      </c>
      <c r="K16" s="132">
        <v>0.66999962410254488</v>
      </c>
      <c r="L16" s="132">
        <v>0</v>
      </c>
      <c r="M16" s="111">
        <v>2</v>
      </c>
      <c r="N16" s="132">
        <v>0</v>
      </c>
      <c r="O16" s="7"/>
    </row>
    <row r="17" spans="1:15" ht="15" customHeight="1" x14ac:dyDescent="0.25">
      <c r="A17" s="116">
        <v>17</v>
      </c>
      <c r="B17" s="74"/>
      <c r="C17" s="50" t="s">
        <v>187</v>
      </c>
      <c r="D17" s="50" t="s">
        <v>192</v>
      </c>
      <c r="E17" s="50" t="s">
        <v>195</v>
      </c>
      <c r="F17" s="79" t="s">
        <v>190</v>
      </c>
      <c r="G17" s="132">
        <v>0</v>
      </c>
      <c r="H17" s="132">
        <v>0.48467017652524003</v>
      </c>
      <c r="I17" s="132">
        <v>0</v>
      </c>
      <c r="J17" s="132">
        <v>0</v>
      </c>
      <c r="K17" s="132">
        <v>0.51532982347475997</v>
      </c>
      <c r="L17" s="132">
        <v>0</v>
      </c>
      <c r="M17" s="111">
        <v>2</v>
      </c>
      <c r="N17" s="132">
        <v>0</v>
      </c>
      <c r="O17" s="7"/>
    </row>
    <row r="18" spans="1:15" ht="15" customHeight="1" x14ac:dyDescent="0.25">
      <c r="A18" s="116">
        <v>18</v>
      </c>
      <c r="B18" s="74"/>
      <c r="C18" s="50" t="s">
        <v>187</v>
      </c>
      <c r="D18" s="50" t="s">
        <v>192</v>
      </c>
      <c r="E18" s="50" t="s">
        <v>196</v>
      </c>
      <c r="F18" s="79" t="s">
        <v>190</v>
      </c>
      <c r="G18" s="132">
        <v>0.31493327451196651</v>
      </c>
      <c r="H18" s="132">
        <v>0</v>
      </c>
      <c r="I18" s="132">
        <v>0</v>
      </c>
      <c r="J18" s="132">
        <v>0.54406088011470166</v>
      </c>
      <c r="K18" s="132">
        <v>0.14100584537333186</v>
      </c>
      <c r="L18" s="132">
        <v>0</v>
      </c>
      <c r="M18" s="111">
        <v>2</v>
      </c>
      <c r="N18" s="132">
        <v>5.9859966878393393E-2</v>
      </c>
      <c r="O18" s="7"/>
    </row>
    <row r="19" spans="1:15" ht="15" customHeight="1" x14ac:dyDescent="0.25">
      <c r="A19" s="116">
        <v>19</v>
      </c>
      <c r="B19" s="74"/>
      <c r="C19" s="50" t="s">
        <v>187</v>
      </c>
      <c r="D19" s="50" t="s">
        <v>192</v>
      </c>
      <c r="E19" s="50" t="s">
        <v>197</v>
      </c>
      <c r="F19" s="79" t="s">
        <v>190</v>
      </c>
      <c r="G19" s="132">
        <v>0</v>
      </c>
      <c r="H19" s="132">
        <v>0</v>
      </c>
      <c r="I19" s="132">
        <v>0</v>
      </c>
      <c r="J19" s="132">
        <v>0</v>
      </c>
      <c r="K19" s="132">
        <v>0</v>
      </c>
      <c r="L19" s="132">
        <v>0</v>
      </c>
      <c r="M19" s="111" t="s">
        <v>610</v>
      </c>
      <c r="N19" s="132">
        <v>0</v>
      </c>
      <c r="O19" s="7"/>
    </row>
    <row r="20" spans="1:15" ht="15" customHeight="1" x14ac:dyDescent="0.25">
      <c r="A20" s="116">
        <v>20</v>
      </c>
      <c r="B20" s="74"/>
      <c r="C20" s="50" t="s">
        <v>187</v>
      </c>
      <c r="D20" s="50" t="s">
        <v>192</v>
      </c>
      <c r="E20" s="50" t="s">
        <v>198</v>
      </c>
      <c r="F20" s="79" t="s">
        <v>190</v>
      </c>
      <c r="G20" s="132">
        <v>0</v>
      </c>
      <c r="H20" s="132">
        <v>0</v>
      </c>
      <c r="I20" s="132">
        <v>0</v>
      </c>
      <c r="J20" s="132">
        <v>0</v>
      </c>
      <c r="K20" s="132">
        <v>0</v>
      </c>
      <c r="L20" s="132">
        <v>0</v>
      </c>
      <c r="M20" s="111" t="s">
        <v>610</v>
      </c>
      <c r="N20" s="132">
        <v>0</v>
      </c>
      <c r="O20" s="7"/>
    </row>
    <row r="21" spans="1:15" ht="15" customHeight="1" x14ac:dyDescent="0.25">
      <c r="A21" s="116">
        <v>21</v>
      </c>
      <c r="B21" s="74"/>
      <c r="C21" s="50" t="s">
        <v>187</v>
      </c>
      <c r="D21" s="50" t="s">
        <v>192</v>
      </c>
      <c r="E21" s="50" t="s">
        <v>199</v>
      </c>
      <c r="F21" s="79" t="s">
        <v>190</v>
      </c>
      <c r="G21" s="132">
        <v>0</v>
      </c>
      <c r="H21" s="132">
        <v>0</v>
      </c>
      <c r="I21" s="132">
        <v>0</v>
      </c>
      <c r="J21" s="132">
        <v>0</v>
      </c>
      <c r="K21" s="132">
        <v>0</v>
      </c>
      <c r="L21" s="132">
        <v>0</v>
      </c>
      <c r="M21" s="111" t="s">
        <v>610</v>
      </c>
      <c r="N21" s="132">
        <v>0</v>
      </c>
      <c r="O21" s="7"/>
    </row>
    <row r="22" spans="1:15" ht="15" customHeight="1" x14ac:dyDescent="0.25">
      <c r="A22" s="116">
        <v>22</v>
      </c>
      <c r="B22" s="74"/>
      <c r="C22" s="50" t="s">
        <v>187</v>
      </c>
      <c r="D22" s="50" t="s">
        <v>192</v>
      </c>
      <c r="E22" s="50" t="s">
        <v>200</v>
      </c>
      <c r="F22" s="79" t="s">
        <v>190</v>
      </c>
      <c r="G22" s="132">
        <v>0</v>
      </c>
      <c r="H22" s="132">
        <v>0</v>
      </c>
      <c r="I22" s="132">
        <v>0</v>
      </c>
      <c r="J22" s="132">
        <v>0</v>
      </c>
      <c r="K22" s="132">
        <v>0</v>
      </c>
      <c r="L22" s="132">
        <v>0</v>
      </c>
      <c r="M22" s="111" t="s">
        <v>610</v>
      </c>
      <c r="N22" s="132">
        <v>0</v>
      </c>
      <c r="O22" s="7"/>
    </row>
    <row r="23" spans="1:15" ht="15" customHeight="1" x14ac:dyDescent="0.25">
      <c r="A23" s="116">
        <v>23</v>
      </c>
      <c r="B23" s="74"/>
      <c r="C23" s="50" t="s">
        <v>187</v>
      </c>
      <c r="D23" s="50" t="s">
        <v>192</v>
      </c>
      <c r="E23" s="50" t="s">
        <v>201</v>
      </c>
      <c r="F23" s="79" t="s">
        <v>190</v>
      </c>
      <c r="G23" s="132">
        <v>0</v>
      </c>
      <c r="H23" s="132">
        <v>0</v>
      </c>
      <c r="I23" s="132">
        <v>0</v>
      </c>
      <c r="J23" s="132">
        <v>0</v>
      </c>
      <c r="K23" s="132">
        <v>0</v>
      </c>
      <c r="L23" s="132">
        <v>0</v>
      </c>
      <c r="M23" s="111" t="s">
        <v>610</v>
      </c>
      <c r="N23" s="132">
        <v>0</v>
      </c>
      <c r="O23" s="7"/>
    </row>
    <row r="24" spans="1:15" ht="15" customHeight="1" x14ac:dyDescent="0.25">
      <c r="A24" s="116">
        <v>24</v>
      </c>
      <c r="B24" s="74"/>
      <c r="C24" s="50" t="s">
        <v>187</v>
      </c>
      <c r="D24" s="50" t="s">
        <v>202</v>
      </c>
      <c r="E24" s="50" t="s">
        <v>203</v>
      </c>
      <c r="F24" s="79" t="s">
        <v>184</v>
      </c>
      <c r="G24" s="132">
        <v>0.34375</v>
      </c>
      <c r="H24" s="132">
        <v>6.25E-2</v>
      </c>
      <c r="I24" s="132">
        <v>9.375E-2</v>
      </c>
      <c r="J24" s="132">
        <v>0.1875</v>
      </c>
      <c r="K24" s="132">
        <v>0.3125</v>
      </c>
      <c r="L24" s="132">
        <v>0</v>
      </c>
      <c r="M24" s="111">
        <v>2</v>
      </c>
      <c r="N24" s="132">
        <v>6.25E-2</v>
      </c>
      <c r="O24" s="7"/>
    </row>
    <row r="25" spans="1:15" ht="15" customHeight="1" x14ac:dyDescent="0.25">
      <c r="A25" s="116">
        <v>25</v>
      </c>
      <c r="B25" s="74"/>
      <c r="C25" s="50" t="s">
        <v>187</v>
      </c>
      <c r="D25" s="50" t="s">
        <v>202</v>
      </c>
      <c r="E25" s="50" t="s">
        <v>204</v>
      </c>
      <c r="F25" s="79" t="s">
        <v>184</v>
      </c>
      <c r="G25" s="132">
        <v>0</v>
      </c>
      <c r="H25" s="132">
        <v>0</v>
      </c>
      <c r="I25" s="132">
        <v>0</v>
      </c>
      <c r="J25" s="132">
        <v>0</v>
      </c>
      <c r="K25" s="132">
        <v>0</v>
      </c>
      <c r="L25" s="132">
        <v>0</v>
      </c>
      <c r="M25" s="111" t="s">
        <v>610</v>
      </c>
      <c r="N25" s="132">
        <v>0</v>
      </c>
      <c r="O25" s="7"/>
    </row>
    <row r="26" spans="1:15" ht="15" customHeight="1" x14ac:dyDescent="0.25">
      <c r="A26" s="116">
        <v>26</v>
      </c>
      <c r="B26" s="74"/>
      <c r="C26" s="50" t="s">
        <v>187</v>
      </c>
      <c r="D26" s="50" t="s">
        <v>205</v>
      </c>
      <c r="E26" s="50" t="s">
        <v>206</v>
      </c>
      <c r="F26" s="79" t="s">
        <v>184</v>
      </c>
      <c r="G26" s="132">
        <v>0</v>
      </c>
      <c r="H26" s="132">
        <v>0.14285714285714285</v>
      </c>
      <c r="I26" s="132">
        <v>0.11904761904761904</v>
      </c>
      <c r="J26" s="132">
        <v>0.2857142857142857</v>
      </c>
      <c r="K26" s="132">
        <v>0.45238095238095238</v>
      </c>
      <c r="L26" s="132">
        <v>0</v>
      </c>
      <c r="M26" s="111">
        <v>2</v>
      </c>
      <c r="N26" s="132">
        <v>0.23809523809523808</v>
      </c>
      <c r="O26" s="7"/>
    </row>
    <row r="27" spans="1:15" ht="15" customHeight="1" x14ac:dyDescent="0.25">
      <c r="A27" s="116">
        <v>27</v>
      </c>
      <c r="B27" s="74"/>
      <c r="C27" s="50" t="s">
        <v>187</v>
      </c>
      <c r="D27" s="50" t="s">
        <v>205</v>
      </c>
      <c r="E27" s="50" t="s">
        <v>207</v>
      </c>
      <c r="F27" s="79" t="s">
        <v>184</v>
      </c>
      <c r="G27" s="132">
        <v>5.3571428571428568E-2</v>
      </c>
      <c r="H27" s="132">
        <v>0.10714285714285714</v>
      </c>
      <c r="I27" s="132">
        <v>0.16071428571428573</v>
      </c>
      <c r="J27" s="132">
        <v>0.21428571428571427</v>
      </c>
      <c r="K27" s="132">
        <v>0.4642857142857143</v>
      </c>
      <c r="L27" s="132">
        <v>0</v>
      </c>
      <c r="M27" s="111">
        <v>2</v>
      </c>
      <c r="N27" s="132">
        <v>0.30357142857142855</v>
      </c>
      <c r="O27" s="7"/>
    </row>
    <row r="28" spans="1:15" ht="15" customHeight="1" x14ac:dyDescent="0.25">
      <c r="A28" s="116">
        <v>28</v>
      </c>
      <c r="B28" s="74"/>
      <c r="C28" s="50" t="s">
        <v>187</v>
      </c>
      <c r="D28" s="50" t="s">
        <v>205</v>
      </c>
      <c r="E28" s="50" t="s">
        <v>208</v>
      </c>
      <c r="F28" s="79" t="s">
        <v>184</v>
      </c>
      <c r="G28" s="132">
        <v>0</v>
      </c>
      <c r="H28" s="132">
        <v>0</v>
      </c>
      <c r="I28" s="132">
        <v>0</v>
      </c>
      <c r="J28" s="132">
        <v>0</v>
      </c>
      <c r="K28" s="132">
        <v>0</v>
      </c>
      <c r="L28" s="132">
        <v>0</v>
      </c>
      <c r="M28" s="111" t="s">
        <v>610</v>
      </c>
      <c r="N28" s="132">
        <v>0</v>
      </c>
      <c r="O28" s="7"/>
    </row>
    <row r="29" spans="1:15" ht="15" customHeight="1" x14ac:dyDescent="0.25">
      <c r="A29" s="116">
        <v>29</v>
      </c>
      <c r="B29" s="74"/>
      <c r="C29" s="50" t="s">
        <v>187</v>
      </c>
      <c r="D29" s="50" t="s">
        <v>205</v>
      </c>
      <c r="E29" s="50" t="s">
        <v>209</v>
      </c>
      <c r="F29" s="79" t="s">
        <v>184</v>
      </c>
      <c r="G29" s="132">
        <v>0.37012987012987014</v>
      </c>
      <c r="H29" s="132">
        <v>3.2467532467532464E-2</v>
      </c>
      <c r="I29" s="132">
        <v>6.4935064935064939E-3</v>
      </c>
      <c r="J29" s="132">
        <v>8.4415584415584416E-2</v>
      </c>
      <c r="K29" s="132">
        <v>0.50649350649350644</v>
      </c>
      <c r="L29" s="132">
        <v>0</v>
      </c>
      <c r="M29" s="111">
        <v>2</v>
      </c>
      <c r="N29" s="132">
        <v>0.13636363636363635</v>
      </c>
      <c r="O29" s="7"/>
    </row>
    <row r="30" spans="1:15" ht="15" customHeight="1" x14ac:dyDescent="0.25">
      <c r="A30" s="116">
        <v>30</v>
      </c>
      <c r="B30" s="74"/>
      <c r="C30" s="50" t="s">
        <v>187</v>
      </c>
      <c r="D30" s="50" t="s">
        <v>205</v>
      </c>
      <c r="E30" s="50" t="s">
        <v>210</v>
      </c>
      <c r="F30" s="79" t="s">
        <v>184</v>
      </c>
      <c r="G30" s="132">
        <v>0</v>
      </c>
      <c r="H30" s="132">
        <v>0</v>
      </c>
      <c r="I30" s="132">
        <v>0</v>
      </c>
      <c r="J30" s="132">
        <v>0</v>
      </c>
      <c r="K30" s="132">
        <v>1</v>
      </c>
      <c r="L30" s="132">
        <v>0</v>
      </c>
      <c r="M30" s="111">
        <v>2</v>
      </c>
      <c r="N30" s="132">
        <v>0</v>
      </c>
      <c r="O30" s="7"/>
    </row>
    <row r="31" spans="1:15" ht="15" customHeight="1" x14ac:dyDescent="0.25">
      <c r="A31" s="116">
        <v>31</v>
      </c>
      <c r="B31" s="74"/>
      <c r="C31" s="50" t="s">
        <v>187</v>
      </c>
      <c r="D31" s="50" t="s">
        <v>205</v>
      </c>
      <c r="E31" s="50" t="s">
        <v>211</v>
      </c>
      <c r="F31" s="79" t="s">
        <v>184</v>
      </c>
      <c r="G31" s="132">
        <v>0</v>
      </c>
      <c r="H31" s="132">
        <v>0</v>
      </c>
      <c r="I31" s="132">
        <v>0</v>
      </c>
      <c r="J31" s="132">
        <v>0</v>
      </c>
      <c r="K31" s="132">
        <v>0</v>
      </c>
      <c r="L31" s="132">
        <v>0</v>
      </c>
      <c r="M31" s="111" t="s">
        <v>610</v>
      </c>
      <c r="N31" s="132">
        <v>0</v>
      </c>
      <c r="O31" s="7"/>
    </row>
    <row r="32" spans="1:15" ht="15" customHeight="1" x14ac:dyDescent="0.25">
      <c r="A32" s="116">
        <v>32</v>
      </c>
      <c r="B32" s="74"/>
      <c r="C32" s="50" t="s">
        <v>187</v>
      </c>
      <c r="D32" s="50" t="s">
        <v>205</v>
      </c>
      <c r="E32" s="50" t="s">
        <v>212</v>
      </c>
      <c r="F32" s="79" t="s">
        <v>184</v>
      </c>
      <c r="G32" s="132">
        <v>0</v>
      </c>
      <c r="H32" s="132">
        <v>0</v>
      </c>
      <c r="I32" s="132">
        <v>0</v>
      </c>
      <c r="J32" s="132">
        <v>0</v>
      </c>
      <c r="K32" s="132">
        <v>1</v>
      </c>
      <c r="L32" s="132">
        <v>0</v>
      </c>
      <c r="M32" s="111">
        <v>2</v>
      </c>
      <c r="N32" s="132">
        <v>0</v>
      </c>
      <c r="O32" s="7"/>
    </row>
    <row r="33" spans="1:15" ht="15" customHeight="1" x14ac:dyDescent="0.25">
      <c r="A33" s="116">
        <v>33</v>
      </c>
      <c r="B33" s="74"/>
      <c r="C33" s="50" t="s">
        <v>187</v>
      </c>
      <c r="D33" s="50" t="s">
        <v>205</v>
      </c>
      <c r="E33" s="50" t="s">
        <v>213</v>
      </c>
      <c r="F33" s="79" t="s">
        <v>184</v>
      </c>
      <c r="G33" s="132">
        <v>0.24477611940298508</v>
      </c>
      <c r="H33" s="132">
        <v>0</v>
      </c>
      <c r="I33" s="132">
        <v>0.14029850746268657</v>
      </c>
      <c r="J33" s="132">
        <v>8.9552238805970144E-2</v>
      </c>
      <c r="K33" s="132">
        <v>0.52537313432835819</v>
      </c>
      <c r="L33" s="132">
        <v>0</v>
      </c>
      <c r="M33" s="111">
        <v>3</v>
      </c>
      <c r="N33" s="132">
        <v>0.1373134328358209</v>
      </c>
      <c r="O33" s="7"/>
    </row>
    <row r="34" spans="1:15" ht="15" customHeight="1" x14ac:dyDescent="0.25">
      <c r="A34" s="116">
        <v>34</v>
      </c>
      <c r="B34" s="74"/>
      <c r="C34" s="50" t="s">
        <v>187</v>
      </c>
      <c r="D34" s="50" t="s">
        <v>205</v>
      </c>
      <c r="E34" s="50" t="s">
        <v>214</v>
      </c>
      <c r="F34" s="79" t="s">
        <v>184</v>
      </c>
      <c r="G34" s="132">
        <v>0</v>
      </c>
      <c r="H34" s="132">
        <v>0</v>
      </c>
      <c r="I34" s="132">
        <v>0.52</v>
      </c>
      <c r="J34" s="132">
        <v>0.16</v>
      </c>
      <c r="K34" s="132">
        <v>0.32</v>
      </c>
      <c r="L34" s="132">
        <v>0</v>
      </c>
      <c r="M34" s="111">
        <v>2</v>
      </c>
      <c r="N34" s="132">
        <v>0.48</v>
      </c>
      <c r="O34" s="7"/>
    </row>
    <row r="35" spans="1:15" ht="15" customHeight="1" x14ac:dyDescent="0.25">
      <c r="A35" s="116">
        <v>35</v>
      </c>
      <c r="B35" s="74"/>
      <c r="C35" s="50"/>
      <c r="D35" s="50"/>
      <c r="E35" s="50"/>
      <c r="F35" s="79"/>
      <c r="G35" s="50"/>
      <c r="H35" s="50"/>
      <c r="I35" s="79"/>
      <c r="J35" s="50"/>
      <c r="K35" s="50"/>
      <c r="L35" s="50"/>
      <c r="M35" s="79"/>
      <c r="N35" s="79"/>
      <c r="O35" s="7"/>
    </row>
    <row r="36" spans="1:15" ht="12.75" customHeight="1" x14ac:dyDescent="0.2">
      <c r="A36" s="116">
        <v>36</v>
      </c>
      <c r="B36" s="33"/>
      <c r="C36" s="49"/>
      <c r="D36" s="49"/>
      <c r="E36" s="49"/>
      <c r="F36" s="49"/>
      <c r="G36" s="227" t="s">
        <v>168</v>
      </c>
      <c r="H36" s="227"/>
      <c r="I36" s="227"/>
      <c r="J36" s="227"/>
      <c r="K36" s="227"/>
      <c r="L36" s="227"/>
      <c r="M36" s="227"/>
      <c r="N36" s="227"/>
      <c r="O36" s="7"/>
    </row>
    <row r="37" spans="1:15" ht="12.75" customHeight="1" x14ac:dyDescent="0.2">
      <c r="A37" s="116">
        <v>37</v>
      </c>
      <c r="B37" s="33"/>
      <c r="C37" s="49"/>
      <c r="D37" s="49"/>
      <c r="E37" s="49"/>
      <c r="F37" s="49"/>
      <c r="G37" s="86"/>
      <c r="H37" s="86"/>
      <c r="I37" s="86"/>
      <c r="J37" s="86"/>
      <c r="K37" s="86"/>
      <c r="L37" s="86"/>
      <c r="M37" s="49"/>
      <c r="N37" s="228" t="s">
        <v>169</v>
      </c>
      <c r="O37" s="7"/>
    </row>
    <row r="38" spans="1:15" s="5" customFormat="1" ht="54" customHeight="1" x14ac:dyDescent="0.2">
      <c r="A38" s="116">
        <v>38</v>
      </c>
      <c r="B38" s="42"/>
      <c r="C38" s="106" t="s">
        <v>170</v>
      </c>
      <c r="D38" s="107" t="s">
        <v>171</v>
      </c>
      <c r="E38" s="107" t="s">
        <v>172</v>
      </c>
      <c r="F38" s="103" t="s">
        <v>173</v>
      </c>
      <c r="G38" s="169" t="s">
        <v>174</v>
      </c>
      <c r="H38" s="169" t="s">
        <v>175</v>
      </c>
      <c r="I38" s="169" t="s">
        <v>176</v>
      </c>
      <c r="J38" s="169" t="s">
        <v>177</v>
      </c>
      <c r="K38" s="169" t="s">
        <v>178</v>
      </c>
      <c r="L38" s="103" t="s">
        <v>179</v>
      </c>
      <c r="M38" s="103" t="s">
        <v>180</v>
      </c>
      <c r="N38" s="229"/>
      <c r="O38" s="16"/>
    </row>
    <row r="39" spans="1:15" ht="15" customHeight="1" x14ac:dyDescent="0.2">
      <c r="A39" s="116">
        <v>39</v>
      </c>
      <c r="B39" s="33"/>
      <c r="C39" s="50" t="s">
        <v>187</v>
      </c>
      <c r="D39" s="50" t="s">
        <v>215</v>
      </c>
      <c r="E39" s="50" t="s">
        <v>216</v>
      </c>
      <c r="F39" s="79" t="s">
        <v>184</v>
      </c>
      <c r="G39" s="132">
        <v>3.0769230769230771E-2</v>
      </c>
      <c r="H39" s="132">
        <v>9.2307692307692313E-2</v>
      </c>
      <c r="I39" s="132">
        <v>0.23076923076923078</v>
      </c>
      <c r="J39" s="132">
        <v>0.26153846153846155</v>
      </c>
      <c r="K39" s="132">
        <v>0.38461538461538464</v>
      </c>
      <c r="L39" s="132">
        <v>0</v>
      </c>
      <c r="M39" s="111">
        <v>3</v>
      </c>
      <c r="N39" s="132">
        <v>0.13846153846153847</v>
      </c>
      <c r="O39" s="7"/>
    </row>
    <row r="40" spans="1:15" ht="15" customHeight="1" x14ac:dyDescent="0.2">
      <c r="A40" s="116">
        <v>40</v>
      </c>
      <c r="B40" s="33"/>
      <c r="C40" s="50" t="s">
        <v>187</v>
      </c>
      <c r="D40" s="50" t="s">
        <v>217</v>
      </c>
      <c r="E40" s="50" t="s">
        <v>218</v>
      </c>
      <c r="F40" s="79" t="s">
        <v>190</v>
      </c>
      <c r="G40" s="132">
        <v>2.969215647367493E-2</v>
      </c>
      <c r="H40" s="132">
        <v>2.533064316692971E-2</v>
      </c>
      <c r="I40" s="132">
        <v>5.6624785550379989E-2</v>
      </c>
      <c r="J40" s="132">
        <v>0.15283177321835872</v>
      </c>
      <c r="K40" s="132">
        <v>0.73552064159065833</v>
      </c>
      <c r="L40" s="132">
        <v>0</v>
      </c>
      <c r="M40" s="111">
        <v>2</v>
      </c>
      <c r="N40" s="132">
        <v>5.427572915435868E-2</v>
      </c>
      <c r="O40" s="7"/>
    </row>
    <row r="41" spans="1:15" ht="15" customHeight="1" x14ac:dyDescent="0.2">
      <c r="A41" s="116">
        <v>41</v>
      </c>
      <c r="B41" s="33"/>
      <c r="C41" s="50" t="s">
        <v>187</v>
      </c>
      <c r="D41" s="50" t="s">
        <v>217</v>
      </c>
      <c r="E41" s="50" t="s">
        <v>219</v>
      </c>
      <c r="F41" s="79" t="s">
        <v>190</v>
      </c>
      <c r="G41" s="132">
        <v>0</v>
      </c>
      <c r="H41" s="132">
        <v>0</v>
      </c>
      <c r="I41" s="132">
        <v>0</v>
      </c>
      <c r="J41" s="132">
        <v>0</v>
      </c>
      <c r="K41" s="132">
        <v>0</v>
      </c>
      <c r="L41" s="132">
        <v>0</v>
      </c>
      <c r="M41" s="111" t="s">
        <v>610</v>
      </c>
      <c r="N41" s="132">
        <v>0</v>
      </c>
      <c r="O41" s="7"/>
    </row>
    <row r="42" spans="1:15" ht="15" customHeight="1" x14ac:dyDescent="0.2">
      <c r="A42" s="116">
        <v>42</v>
      </c>
      <c r="B42" s="33"/>
      <c r="C42" s="50" t="s">
        <v>187</v>
      </c>
      <c r="D42" s="50" t="s">
        <v>217</v>
      </c>
      <c r="E42" s="50" t="s">
        <v>220</v>
      </c>
      <c r="F42" s="79" t="s">
        <v>190</v>
      </c>
      <c r="G42" s="132">
        <v>0.12746794459178898</v>
      </c>
      <c r="H42" s="132">
        <v>0</v>
      </c>
      <c r="I42" s="132">
        <v>0</v>
      </c>
      <c r="J42" s="132">
        <v>5.3896694437275988E-2</v>
      </c>
      <c r="K42" s="132">
        <v>0.81863536097093481</v>
      </c>
      <c r="L42" s="132">
        <v>0</v>
      </c>
      <c r="M42" s="111">
        <v>2</v>
      </c>
      <c r="N42" s="132">
        <v>0.31816368973278658</v>
      </c>
      <c r="O42" s="7"/>
    </row>
    <row r="43" spans="1:15" ht="15" customHeight="1" x14ac:dyDescent="0.2">
      <c r="A43" s="116">
        <v>43</v>
      </c>
      <c r="B43" s="33"/>
      <c r="C43" s="50" t="s">
        <v>187</v>
      </c>
      <c r="D43" s="50" t="s">
        <v>221</v>
      </c>
      <c r="E43" s="50" t="s">
        <v>222</v>
      </c>
      <c r="F43" s="79" t="s">
        <v>190</v>
      </c>
      <c r="G43" s="132">
        <v>4.0669918462627104E-4</v>
      </c>
      <c r="H43" s="132">
        <v>4.8890538311024837E-3</v>
      </c>
      <c r="I43" s="132">
        <v>1.9803603558448961E-3</v>
      </c>
      <c r="J43" s="132">
        <v>2.1841685463193971E-3</v>
      </c>
      <c r="K43" s="132">
        <v>0.99053971808210683</v>
      </c>
      <c r="L43" s="132"/>
      <c r="M43" s="111">
        <v>2</v>
      </c>
      <c r="N43" s="132">
        <v>7.2761133715736493E-3</v>
      </c>
      <c r="O43" s="7"/>
    </row>
    <row r="44" spans="1:15" ht="15" customHeight="1" x14ac:dyDescent="0.2">
      <c r="A44" s="116">
        <v>44</v>
      </c>
      <c r="B44" s="33"/>
      <c r="C44" s="50" t="s">
        <v>187</v>
      </c>
      <c r="D44" s="50" t="s">
        <v>221</v>
      </c>
      <c r="E44" s="50" t="s">
        <v>223</v>
      </c>
      <c r="F44" s="79" t="s">
        <v>190</v>
      </c>
      <c r="G44" s="132">
        <v>1.0374497094621672E-5</v>
      </c>
      <c r="H44" s="132">
        <v>0</v>
      </c>
      <c r="I44" s="132">
        <v>3.824421658974513E-4</v>
      </c>
      <c r="J44" s="132">
        <v>7.923149763318664E-2</v>
      </c>
      <c r="K44" s="132">
        <v>0.92037568570382133</v>
      </c>
      <c r="L44" s="132"/>
      <c r="M44" s="111">
        <v>2</v>
      </c>
      <c r="N44" s="132">
        <v>1.6937099321234896E-3</v>
      </c>
      <c r="O44" s="7"/>
    </row>
    <row r="45" spans="1:15" ht="15" customHeight="1" x14ac:dyDescent="0.2">
      <c r="A45" s="116">
        <v>45</v>
      </c>
      <c r="B45" s="33"/>
      <c r="C45" s="50" t="s">
        <v>187</v>
      </c>
      <c r="D45" s="50" t="s">
        <v>221</v>
      </c>
      <c r="E45" s="50" t="s">
        <v>224</v>
      </c>
      <c r="F45" s="79" t="s">
        <v>190</v>
      </c>
      <c r="G45" s="132">
        <v>0</v>
      </c>
      <c r="H45" s="132">
        <v>0</v>
      </c>
      <c r="I45" s="132">
        <v>0</v>
      </c>
      <c r="J45" s="132">
        <v>0</v>
      </c>
      <c r="K45" s="132">
        <v>1</v>
      </c>
      <c r="L45" s="132"/>
      <c r="M45" s="111">
        <v>2</v>
      </c>
      <c r="N45" s="132">
        <v>0</v>
      </c>
      <c r="O45" s="7"/>
    </row>
    <row r="46" spans="1:15" ht="15" customHeight="1" x14ac:dyDescent="0.2">
      <c r="A46" s="116">
        <v>46</v>
      </c>
      <c r="B46" s="33"/>
      <c r="C46" s="92" t="s">
        <v>187</v>
      </c>
      <c r="D46" s="92" t="s">
        <v>225</v>
      </c>
      <c r="E46" s="50" t="s">
        <v>226</v>
      </c>
      <c r="F46" s="79" t="s">
        <v>184</v>
      </c>
      <c r="G46" s="132">
        <v>0</v>
      </c>
      <c r="H46" s="132">
        <v>0</v>
      </c>
      <c r="I46" s="132">
        <v>5.0847457627118647E-2</v>
      </c>
      <c r="J46" s="132">
        <v>6.7796610169491525E-2</v>
      </c>
      <c r="K46" s="132">
        <v>0.88135593220338981</v>
      </c>
      <c r="L46" s="132">
        <v>0</v>
      </c>
      <c r="M46" s="111">
        <v>2</v>
      </c>
      <c r="N46" s="132">
        <v>6.7796610169491525E-2</v>
      </c>
      <c r="O46" s="7"/>
    </row>
    <row r="47" spans="1:15" ht="15" customHeight="1" x14ac:dyDescent="0.2">
      <c r="A47" s="116">
        <v>47</v>
      </c>
      <c r="B47" s="33"/>
      <c r="C47" s="92" t="s">
        <v>187</v>
      </c>
      <c r="D47" s="92" t="s">
        <v>225</v>
      </c>
      <c r="E47" s="50" t="s">
        <v>227</v>
      </c>
      <c r="F47" s="79" t="s">
        <v>184</v>
      </c>
      <c r="G47" s="132">
        <v>0.66666666666666663</v>
      </c>
      <c r="H47" s="132">
        <v>0</v>
      </c>
      <c r="I47" s="132">
        <v>0.33333333333333331</v>
      </c>
      <c r="J47" s="132">
        <v>0</v>
      </c>
      <c r="K47" s="132">
        <v>0</v>
      </c>
      <c r="L47" s="132">
        <v>0</v>
      </c>
      <c r="M47" s="111">
        <v>2</v>
      </c>
      <c r="N47" s="132">
        <v>0</v>
      </c>
      <c r="O47" s="7"/>
    </row>
    <row r="48" spans="1:15" ht="15" customHeight="1" x14ac:dyDescent="0.2">
      <c r="A48" s="116">
        <v>48</v>
      </c>
      <c r="B48" s="33"/>
      <c r="C48" s="92" t="s">
        <v>187</v>
      </c>
      <c r="D48" s="92" t="s">
        <v>225</v>
      </c>
      <c r="E48" s="87" t="s">
        <v>228</v>
      </c>
      <c r="F48" s="79" t="s">
        <v>184</v>
      </c>
      <c r="G48" s="132">
        <v>0.10696965498129417</v>
      </c>
      <c r="H48" s="132">
        <v>3.1176389081335736E-2</v>
      </c>
      <c r="I48" s="132">
        <v>5.182208673964251E-2</v>
      </c>
      <c r="J48" s="132">
        <v>0.11168075377580712</v>
      </c>
      <c r="K48" s="132">
        <v>0.69835111542192052</v>
      </c>
      <c r="L48" s="132">
        <v>0</v>
      </c>
      <c r="M48" s="111">
        <v>2</v>
      </c>
      <c r="N48" s="132">
        <v>8.54925869474851E-2</v>
      </c>
      <c r="O48" s="7"/>
    </row>
    <row r="49" spans="1:15" ht="15" customHeight="1" x14ac:dyDescent="0.2">
      <c r="A49" s="116">
        <v>49</v>
      </c>
      <c r="B49" s="33"/>
      <c r="C49" s="92" t="s">
        <v>187</v>
      </c>
      <c r="D49" s="92" t="s">
        <v>225</v>
      </c>
      <c r="E49" s="82" t="s">
        <v>229</v>
      </c>
      <c r="F49" s="79" t="s">
        <v>184</v>
      </c>
      <c r="G49" s="132">
        <v>0.11666666666666667</v>
      </c>
      <c r="H49" s="132">
        <v>0.12575757575757576</v>
      </c>
      <c r="I49" s="132">
        <v>0.67575757575757578</v>
      </c>
      <c r="J49" s="132">
        <v>7.575757575757576E-3</v>
      </c>
      <c r="K49" s="132">
        <v>7.4242424242424249E-2</v>
      </c>
      <c r="L49" s="132">
        <v>0</v>
      </c>
      <c r="M49" s="111">
        <v>2</v>
      </c>
      <c r="N49" s="132">
        <v>0.43333333333333335</v>
      </c>
      <c r="O49" s="7"/>
    </row>
    <row r="50" spans="1:15" ht="15" customHeight="1" x14ac:dyDescent="0.2">
      <c r="A50" s="116">
        <v>50</v>
      </c>
      <c r="B50" s="33"/>
      <c r="C50" s="50" t="s">
        <v>187</v>
      </c>
      <c r="D50" s="50" t="s">
        <v>225</v>
      </c>
      <c r="E50" s="50" t="s">
        <v>230</v>
      </c>
      <c r="F50" s="79" t="s">
        <v>184</v>
      </c>
      <c r="G50" s="132">
        <v>2.0898641588296763E-3</v>
      </c>
      <c r="H50" s="132">
        <v>9.299895506792058E-2</v>
      </c>
      <c r="I50" s="132">
        <v>0.42737722048066873</v>
      </c>
      <c r="J50" s="132">
        <v>0</v>
      </c>
      <c r="K50" s="132">
        <v>0.47753396029258099</v>
      </c>
      <c r="L50" s="132">
        <v>0</v>
      </c>
      <c r="M50" s="111">
        <v>3</v>
      </c>
      <c r="N50" s="132">
        <v>0.14420062695924765</v>
      </c>
      <c r="O50" s="7"/>
    </row>
    <row r="51" spans="1:15" ht="15" customHeight="1" x14ac:dyDescent="0.2">
      <c r="A51" s="116">
        <v>51</v>
      </c>
      <c r="B51" s="33"/>
      <c r="C51" s="50" t="s">
        <v>187</v>
      </c>
      <c r="D51" s="50" t="s">
        <v>231</v>
      </c>
      <c r="E51" s="50" t="s">
        <v>232</v>
      </c>
      <c r="F51" s="79" t="s">
        <v>184</v>
      </c>
      <c r="G51" s="132">
        <v>4.3203883495145631E-2</v>
      </c>
      <c r="H51" s="132">
        <v>3.9077669902912622E-2</v>
      </c>
      <c r="I51" s="132">
        <v>8.2766990291262138E-2</v>
      </c>
      <c r="J51" s="132">
        <v>0.16334951456310678</v>
      </c>
      <c r="K51" s="132">
        <v>0.67160194174757282</v>
      </c>
      <c r="L51" s="132">
        <v>0</v>
      </c>
      <c r="M51" s="111">
        <v>3</v>
      </c>
      <c r="N51" s="132">
        <v>3.5194174757281552E-2</v>
      </c>
      <c r="O51" s="7"/>
    </row>
    <row r="52" spans="1:15" ht="15" customHeight="1" x14ac:dyDescent="0.2">
      <c r="A52" s="116">
        <v>52</v>
      </c>
      <c r="B52" s="33"/>
      <c r="C52" s="50" t="s">
        <v>187</v>
      </c>
      <c r="D52" s="50" t="s">
        <v>231</v>
      </c>
      <c r="E52" s="50" t="s">
        <v>233</v>
      </c>
      <c r="F52" s="79" t="s">
        <v>184</v>
      </c>
      <c r="G52" s="132">
        <v>1.7835909631391202E-3</v>
      </c>
      <c r="H52" s="132">
        <v>1.1890606420927468E-2</v>
      </c>
      <c r="I52" s="132">
        <v>2.1700356718192627E-2</v>
      </c>
      <c r="J52" s="132">
        <v>7.0154577883472055E-2</v>
      </c>
      <c r="K52" s="132">
        <v>0.89447086801426878</v>
      </c>
      <c r="L52" s="132">
        <v>0</v>
      </c>
      <c r="M52" s="111">
        <v>3</v>
      </c>
      <c r="N52" s="132">
        <v>1.2187871581450654E-2</v>
      </c>
      <c r="O52" s="7"/>
    </row>
    <row r="53" spans="1:15" ht="15" customHeight="1" x14ac:dyDescent="0.2">
      <c r="A53" s="116">
        <v>53</v>
      </c>
      <c r="B53" s="33"/>
      <c r="C53" s="50" t="s">
        <v>187</v>
      </c>
      <c r="D53" s="50" t="s">
        <v>234</v>
      </c>
      <c r="E53" s="50" t="s">
        <v>235</v>
      </c>
      <c r="F53" s="79" t="s">
        <v>184</v>
      </c>
      <c r="G53" s="132">
        <v>9.375E-2</v>
      </c>
      <c r="H53" s="132">
        <v>0</v>
      </c>
      <c r="I53" s="132">
        <v>0</v>
      </c>
      <c r="J53" s="132">
        <v>0.15625</v>
      </c>
      <c r="K53" s="132">
        <v>0.75</v>
      </c>
      <c r="L53" s="132">
        <v>0</v>
      </c>
      <c r="M53" s="111">
        <v>3</v>
      </c>
      <c r="N53" s="132">
        <v>9.375E-2</v>
      </c>
      <c r="O53" s="7"/>
    </row>
    <row r="54" spans="1:15" ht="15" customHeight="1" x14ac:dyDescent="0.2">
      <c r="A54" s="116">
        <v>54</v>
      </c>
      <c r="B54" s="33"/>
      <c r="C54" s="50" t="s">
        <v>187</v>
      </c>
      <c r="D54" s="50" t="s">
        <v>236</v>
      </c>
      <c r="E54" s="50" t="s">
        <v>237</v>
      </c>
      <c r="F54" s="79" t="s">
        <v>184</v>
      </c>
      <c r="G54" s="132">
        <v>0</v>
      </c>
      <c r="H54" s="132">
        <v>0</v>
      </c>
      <c r="I54" s="132">
        <v>0</v>
      </c>
      <c r="J54" s="132">
        <v>0</v>
      </c>
      <c r="K54" s="132">
        <v>0</v>
      </c>
      <c r="L54" s="132">
        <v>0</v>
      </c>
      <c r="M54" s="111" t="s">
        <v>610</v>
      </c>
      <c r="N54" s="132">
        <v>0</v>
      </c>
      <c r="O54" s="7"/>
    </row>
    <row r="55" spans="1:15" ht="15" customHeight="1" x14ac:dyDescent="0.2">
      <c r="A55" s="116">
        <v>55</v>
      </c>
      <c r="B55" s="33"/>
      <c r="C55" s="50" t="s">
        <v>238</v>
      </c>
      <c r="D55" s="50" t="s">
        <v>239</v>
      </c>
      <c r="E55" s="50" t="s">
        <v>240</v>
      </c>
      <c r="F55" s="79" t="s">
        <v>190</v>
      </c>
      <c r="G55" s="132">
        <v>0.12354246186477412</v>
      </c>
      <c r="H55" s="132">
        <v>1.5345393381382506E-2</v>
      </c>
      <c r="I55" s="132">
        <v>7.4713958014419851E-2</v>
      </c>
      <c r="J55" s="132">
        <v>0.15536074670408137</v>
      </c>
      <c r="K55" s="132">
        <v>0.63103744003534212</v>
      </c>
      <c r="L55" s="132">
        <v>0</v>
      </c>
      <c r="M55" s="111">
        <v>2</v>
      </c>
      <c r="N55" s="132">
        <v>8.6643254421917323E-2</v>
      </c>
      <c r="O55" s="7"/>
    </row>
    <row r="56" spans="1:15" ht="15" customHeight="1" x14ac:dyDescent="0.2">
      <c r="A56" s="116">
        <v>56</v>
      </c>
      <c r="B56" s="33"/>
      <c r="C56" s="50" t="s">
        <v>238</v>
      </c>
      <c r="D56" s="50" t="s">
        <v>241</v>
      </c>
      <c r="E56" s="50" t="s">
        <v>242</v>
      </c>
      <c r="F56" s="79" t="s">
        <v>190</v>
      </c>
      <c r="G56" s="132">
        <v>8.2925454447562285E-3</v>
      </c>
      <c r="H56" s="132">
        <v>8.0796027312141482E-3</v>
      </c>
      <c r="I56" s="132">
        <v>8.1025887589185087E-3</v>
      </c>
      <c r="J56" s="132">
        <v>5.0954019490593194E-2</v>
      </c>
      <c r="K56" s="132">
        <v>0.92457124357451814</v>
      </c>
      <c r="L56" s="132"/>
      <c r="M56" s="111">
        <v>2</v>
      </c>
      <c r="N56" s="132">
        <v>1.9947674674992469E-3</v>
      </c>
      <c r="O56" s="7"/>
    </row>
    <row r="57" spans="1:15" ht="15" customHeight="1" x14ac:dyDescent="0.2">
      <c r="A57" s="116">
        <v>57</v>
      </c>
      <c r="B57" s="33"/>
      <c r="C57" s="50" t="s">
        <v>238</v>
      </c>
      <c r="D57" s="50" t="s">
        <v>243</v>
      </c>
      <c r="E57" s="50" t="s">
        <v>244</v>
      </c>
      <c r="F57" s="79" t="s">
        <v>190</v>
      </c>
      <c r="G57" s="132">
        <v>4.2500000000000003E-2</v>
      </c>
      <c r="H57" s="132">
        <v>1.8700000000000001E-2</v>
      </c>
      <c r="I57" s="132">
        <v>8.5300000000000001E-2</v>
      </c>
      <c r="J57" s="132">
        <v>0.24909999999999999</v>
      </c>
      <c r="K57" s="132">
        <v>0.60440000000000005</v>
      </c>
      <c r="L57" s="132">
        <v>0</v>
      </c>
      <c r="M57" s="111">
        <v>1</v>
      </c>
      <c r="N57" s="132">
        <v>0</v>
      </c>
      <c r="O57" s="7"/>
    </row>
    <row r="58" spans="1:15" ht="15" customHeight="1" x14ac:dyDescent="0.2">
      <c r="A58" s="116">
        <v>58</v>
      </c>
      <c r="B58" s="33"/>
      <c r="C58" s="50" t="s">
        <v>238</v>
      </c>
      <c r="D58" s="50" t="s">
        <v>245</v>
      </c>
      <c r="E58" s="50" t="s">
        <v>246</v>
      </c>
      <c r="F58" s="79" t="s">
        <v>184</v>
      </c>
      <c r="G58" s="132">
        <v>0</v>
      </c>
      <c r="H58" s="132">
        <v>0</v>
      </c>
      <c r="I58" s="132">
        <v>0</v>
      </c>
      <c r="J58" s="132">
        <v>0</v>
      </c>
      <c r="K58" s="132">
        <v>0</v>
      </c>
      <c r="L58" s="132">
        <v>0</v>
      </c>
      <c r="M58" s="111" t="s">
        <v>610</v>
      </c>
      <c r="N58" s="132">
        <v>0</v>
      </c>
      <c r="O58" s="7"/>
    </row>
    <row r="59" spans="1:15" ht="15" customHeight="1" x14ac:dyDescent="0.2">
      <c r="A59" s="116">
        <v>59</v>
      </c>
      <c r="B59" s="33"/>
      <c r="C59" s="92" t="s">
        <v>181</v>
      </c>
      <c r="D59" s="92" t="s">
        <v>247</v>
      </c>
      <c r="E59" s="82" t="s">
        <v>248</v>
      </c>
      <c r="F59" s="79" t="s">
        <v>184</v>
      </c>
      <c r="G59" s="132">
        <v>0.51570000000000005</v>
      </c>
      <c r="H59" s="132">
        <v>7.0400000000000004E-2</v>
      </c>
      <c r="I59" s="132">
        <v>0.12959999999999999</v>
      </c>
      <c r="J59" s="132">
        <v>0.2843</v>
      </c>
      <c r="K59" s="132">
        <v>0</v>
      </c>
      <c r="L59" s="132">
        <v>0</v>
      </c>
      <c r="M59" s="111">
        <v>3</v>
      </c>
      <c r="N59" s="132">
        <v>0.35849999999999999</v>
      </c>
      <c r="O59" s="7"/>
    </row>
    <row r="60" spans="1:15" ht="15" customHeight="1" x14ac:dyDescent="0.2">
      <c r="A60" s="116">
        <v>60</v>
      </c>
      <c r="B60" s="33"/>
      <c r="C60" s="92" t="s">
        <v>181</v>
      </c>
      <c r="D60" s="92" t="s">
        <v>249</v>
      </c>
      <c r="E60" s="50" t="s">
        <v>250</v>
      </c>
      <c r="F60" s="79" t="s">
        <v>251</v>
      </c>
      <c r="G60" s="132">
        <v>0</v>
      </c>
      <c r="H60" s="132">
        <v>0</v>
      </c>
      <c r="I60" s="132">
        <v>0</v>
      </c>
      <c r="J60" s="132">
        <v>0</v>
      </c>
      <c r="K60" s="132">
        <v>0</v>
      </c>
      <c r="L60" s="132">
        <v>0</v>
      </c>
      <c r="M60" s="111" t="s">
        <v>610</v>
      </c>
      <c r="N60" s="132">
        <v>0</v>
      </c>
      <c r="O60" s="7"/>
    </row>
    <row r="61" spans="1:15" ht="15" customHeight="1" x14ac:dyDescent="0.2">
      <c r="A61" s="116">
        <v>61</v>
      </c>
      <c r="B61" s="33"/>
      <c r="C61" s="50" t="s">
        <v>181</v>
      </c>
      <c r="D61" s="50" t="s">
        <v>252</v>
      </c>
      <c r="E61" s="50" t="s">
        <v>253</v>
      </c>
      <c r="F61" s="79" t="s">
        <v>184</v>
      </c>
      <c r="G61" s="132">
        <v>0</v>
      </c>
      <c r="H61" s="132">
        <v>0</v>
      </c>
      <c r="I61" s="132">
        <v>0</v>
      </c>
      <c r="J61" s="132">
        <v>0</v>
      </c>
      <c r="K61" s="132">
        <v>1</v>
      </c>
      <c r="L61" s="132">
        <v>0</v>
      </c>
      <c r="M61" s="111">
        <v>2</v>
      </c>
      <c r="N61" s="132">
        <v>0</v>
      </c>
      <c r="O61" s="7"/>
    </row>
    <row r="62" spans="1:15" ht="15" customHeight="1" x14ac:dyDescent="0.2">
      <c r="A62" s="116">
        <v>62</v>
      </c>
      <c r="B62" s="33"/>
      <c r="C62" s="50" t="s">
        <v>181</v>
      </c>
      <c r="D62" s="50" t="s">
        <v>254</v>
      </c>
      <c r="E62" s="50" t="s">
        <v>255</v>
      </c>
      <c r="F62" s="79" t="s">
        <v>251</v>
      </c>
      <c r="G62" s="132" t="s">
        <v>611</v>
      </c>
      <c r="H62" s="132" t="s">
        <v>611</v>
      </c>
      <c r="I62" s="132" t="s">
        <v>611</v>
      </c>
      <c r="J62" s="132">
        <v>0.66669999999999996</v>
      </c>
      <c r="K62" s="132">
        <v>0.33329999999999999</v>
      </c>
      <c r="L62" s="132">
        <v>0</v>
      </c>
      <c r="M62" s="111">
        <v>2</v>
      </c>
      <c r="N62" s="132">
        <v>0</v>
      </c>
      <c r="O62" s="7"/>
    </row>
    <row r="63" spans="1:15" ht="15" customHeight="1" x14ac:dyDescent="0.2">
      <c r="A63" s="116">
        <v>63</v>
      </c>
      <c r="B63" s="33"/>
      <c r="C63" s="50" t="s">
        <v>181</v>
      </c>
      <c r="D63" s="50" t="s">
        <v>254</v>
      </c>
      <c r="E63" s="50" t="s">
        <v>256</v>
      </c>
      <c r="F63" s="79" t="s">
        <v>184</v>
      </c>
      <c r="G63" s="132">
        <v>6.9808027923211169E-2</v>
      </c>
      <c r="H63" s="132">
        <v>1.6143106457242581E-2</v>
      </c>
      <c r="I63" s="132">
        <v>5.4101221640488653E-2</v>
      </c>
      <c r="J63" s="132">
        <v>0.15445026178010471</v>
      </c>
      <c r="K63" s="132">
        <v>0.70549738219895286</v>
      </c>
      <c r="L63" s="132">
        <v>0</v>
      </c>
      <c r="M63" s="111">
        <v>2</v>
      </c>
      <c r="N63" s="132">
        <v>0</v>
      </c>
      <c r="O63" s="7"/>
    </row>
    <row r="64" spans="1:15" ht="15" customHeight="1" x14ac:dyDescent="0.2">
      <c r="A64" s="116">
        <v>64</v>
      </c>
      <c r="B64" s="33"/>
      <c r="C64" s="50" t="s">
        <v>181</v>
      </c>
      <c r="D64" s="50" t="s">
        <v>257</v>
      </c>
      <c r="E64" s="50" t="s">
        <v>258</v>
      </c>
      <c r="F64" s="79" t="s">
        <v>190</v>
      </c>
      <c r="G64" s="132">
        <v>0</v>
      </c>
      <c r="H64" s="132">
        <v>0</v>
      </c>
      <c r="I64" s="132">
        <v>0</v>
      </c>
      <c r="J64" s="132">
        <v>0</v>
      </c>
      <c r="K64" s="132">
        <v>0</v>
      </c>
      <c r="L64" s="132">
        <v>0</v>
      </c>
      <c r="M64" s="111" t="s">
        <v>610</v>
      </c>
      <c r="N64" s="132">
        <v>0</v>
      </c>
      <c r="O64" s="7"/>
    </row>
    <row r="65" spans="1:15" x14ac:dyDescent="0.2">
      <c r="A65" s="117"/>
      <c r="B65" s="41"/>
      <c r="C65" s="10"/>
      <c r="D65" s="10"/>
      <c r="E65" s="10"/>
      <c r="F65" s="10"/>
      <c r="G65" s="10"/>
      <c r="H65" s="10"/>
      <c r="I65" s="10"/>
      <c r="J65" s="10"/>
      <c r="K65" s="10"/>
      <c r="L65" s="10"/>
      <c r="M65" s="10"/>
      <c r="N65" s="10"/>
      <c r="O65" s="11"/>
    </row>
  </sheetData>
  <sheetProtection formatRows="0" insertRows="0"/>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50" priority="206" stopIfTrue="1">
      <formula>SUM($G$10:$K$10)&lt;&gt;100%</formula>
    </cfRule>
  </conditionalFormatting>
  <conditionalFormatting sqref="G11:L11">
    <cfRule type="expression" priority="209" stopIfTrue="1">
      <formula>SUM($G$11:$K$11)=0%</formula>
    </cfRule>
    <cfRule type="expression" dxfId="49" priority="210" stopIfTrue="1">
      <formula>SUM($G$11:$K$11)&lt;&gt;100%</formula>
    </cfRule>
  </conditionalFormatting>
  <conditionalFormatting sqref="G12:L12">
    <cfRule type="expression" priority="213" stopIfTrue="1">
      <formula>SUM($G$12:$K$12)=0%</formula>
    </cfRule>
    <cfRule type="expression" dxfId="48" priority="214" stopIfTrue="1">
      <formula>SUM($G$12:$K$12)&lt;&gt;100%</formula>
    </cfRule>
  </conditionalFormatting>
  <conditionalFormatting sqref="G13:L13">
    <cfRule type="expression" priority="217" stopIfTrue="1">
      <formula>SUM($G$13:$K$13)=0%</formula>
    </cfRule>
    <cfRule type="expression" dxfId="47" priority="218" stopIfTrue="1">
      <formula>SUM($G$13:$K$13)&lt;&gt;100%</formula>
    </cfRule>
  </conditionalFormatting>
  <conditionalFormatting sqref="G14:L14">
    <cfRule type="expression" priority="221" stopIfTrue="1">
      <formula>SUM($G$14:$K$14)=0%</formula>
    </cfRule>
    <cfRule type="expression" dxfId="46" priority="222" stopIfTrue="1">
      <formula>SUM($G$14:$K$14)&lt;&gt;100%</formula>
    </cfRule>
  </conditionalFormatting>
  <conditionalFormatting sqref="G15:L15">
    <cfRule type="expression" priority="225" stopIfTrue="1">
      <formula>SUM($G$15:$K$15)=0%</formula>
    </cfRule>
    <cfRule type="expression" dxfId="45" priority="226" stopIfTrue="1">
      <formula>SUM($G$15:$K$15)&lt;&gt;100%</formula>
    </cfRule>
  </conditionalFormatting>
  <conditionalFormatting sqref="G16:L16">
    <cfRule type="expression" priority="229" stopIfTrue="1">
      <formula>SUM($G$16:$K$16)=0%</formula>
    </cfRule>
    <cfRule type="expression" dxfId="44" priority="230" stopIfTrue="1">
      <formula>SUM($G$16:$K$16)&lt;&gt;100%</formula>
    </cfRule>
  </conditionalFormatting>
  <conditionalFormatting sqref="G17:L17">
    <cfRule type="expression" priority="233" stopIfTrue="1">
      <formula>SUM($G$17:$K$17)=0%</formula>
    </cfRule>
    <cfRule type="expression" dxfId="43" priority="234" stopIfTrue="1">
      <formula>SUM($G$17:$K$17)&lt;&gt;100%</formula>
    </cfRule>
  </conditionalFormatting>
  <conditionalFormatting sqref="G18:L18">
    <cfRule type="expression" priority="237" stopIfTrue="1">
      <formula>SUM($G$18:$K$18)=0%</formula>
    </cfRule>
    <cfRule type="expression" dxfId="42" priority="238" stopIfTrue="1">
      <formula>SUM($G$18:$K$18)&lt;&gt;100%</formula>
    </cfRule>
  </conditionalFormatting>
  <conditionalFormatting sqref="G19:L19">
    <cfRule type="expression" priority="241" stopIfTrue="1">
      <formula>SUM($G$19:$K$19)=0%</formula>
    </cfRule>
    <cfRule type="expression" dxfId="41" priority="242" stopIfTrue="1">
      <formula>SUM($G$19:$K$19)&lt;&gt;100%</formula>
    </cfRule>
  </conditionalFormatting>
  <conditionalFormatting sqref="G20:L20">
    <cfRule type="expression" priority="245" stopIfTrue="1">
      <formula>SUM($G$20:$K$20)=0%</formula>
    </cfRule>
    <cfRule type="expression" dxfId="40" priority="246" stopIfTrue="1">
      <formula>SUM($G$20:$K$20)&lt;&gt;100%</formula>
    </cfRule>
  </conditionalFormatting>
  <conditionalFormatting sqref="G21:L21">
    <cfRule type="expression" priority="249" stopIfTrue="1">
      <formula>SUM($G$21:$K$21)=0%</formula>
    </cfRule>
    <cfRule type="expression" dxfId="39" priority="250" stopIfTrue="1">
      <formula>SUM($G$21:$K$21)&lt;&gt;100%</formula>
    </cfRule>
  </conditionalFormatting>
  <conditionalFormatting sqref="G22:L22">
    <cfRule type="expression" priority="253" stopIfTrue="1">
      <formula>SUM($G$22:$K$22)=0%</formula>
    </cfRule>
    <cfRule type="expression" dxfId="38" priority="254" stopIfTrue="1">
      <formula>SUM($G$22:$K$22)&lt;&gt;100%</formula>
    </cfRule>
  </conditionalFormatting>
  <conditionalFormatting sqref="G23:L23">
    <cfRule type="expression" priority="257" stopIfTrue="1">
      <formula>SUM($G$23:$K$23)=0%</formula>
    </cfRule>
    <cfRule type="expression" dxfId="37" priority="258" stopIfTrue="1">
      <formula>SUM($G$23:$K$23)&lt;&gt;100%</formula>
    </cfRule>
  </conditionalFormatting>
  <conditionalFormatting sqref="G24:L24">
    <cfRule type="expression" priority="261" stopIfTrue="1">
      <formula>SUM($G$24:$K$24)=0%</formula>
    </cfRule>
    <cfRule type="expression" dxfId="36" priority="262" stopIfTrue="1">
      <formula>SUM($G$24:$K$24)&lt;&gt;100%</formula>
    </cfRule>
  </conditionalFormatting>
  <conditionalFormatting sqref="G25:L25">
    <cfRule type="expression" priority="265" stopIfTrue="1">
      <formula>SUM($G$25:$K$25)=0%</formula>
    </cfRule>
    <cfRule type="expression" dxfId="35" priority="266" stopIfTrue="1">
      <formula>SUM($G$25:$K$25)&lt;&gt;100%</formula>
    </cfRule>
  </conditionalFormatting>
  <conditionalFormatting sqref="G26:L26">
    <cfRule type="expression" priority="269" stopIfTrue="1">
      <formula>SUM($G$26:$K$26)=0%</formula>
    </cfRule>
    <cfRule type="expression" dxfId="34" priority="270" stopIfTrue="1">
      <formula>SUM($G$26:$K$26)&lt;&gt;100%</formula>
    </cfRule>
  </conditionalFormatting>
  <conditionalFormatting sqref="G27:L27">
    <cfRule type="expression" priority="273" stopIfTrue="1">
      <formula>SUM($G$27:$K$27)=0%</formula>
    </cfRule>
    <cfRule type="expression" dxfId="33" priority="274" stopIfTrue="1">
      <formula>SUM($G$27:$K$27)&lt;&gt;100%</formula>
    </cfRule>
  </conditionalFormatting>
  <conditionalFormatting sqref="G28:L28">
    <cfRule type="expression" priority="277" stopIfTrue="1">
      <formula>SUM($G$28:$K$28)=0%</formula>
    </cfRule>
    <cfRule type="expression" dxfId="32" priority="278" stopIfTrue="1">
      <formula>SUM($G$28:$K$28)&lt;&gt;100%</formula>
    </cfRule>
  </conditionalFormatting>
  <conditionalFormatting sqref="G29:L29">
    <cfRule type="expression" priority="281" stopIfTrue="1">
      <formula>SUM($G$29:$K$29)=0%</formula>
    </cfRule>
    <cfRule type="expression" dxfId="31" priority="282" stopIfTrue="1">
      <formula>SUM($G$29:$K$29)&lt;&gt;100%</formula>
    </cfRule>
  </conditionalFormatting>
  <conditionalFormatting sqref="G30:L30">
    <cfRule type="expression" priority="285" stopIfTrue="1">
      <formula>SUM($G$30:$K$30)=0%</formula>
    </cfRule>
    <cfRule type="expression" dxfId="30" priority="286" stopIfTrue="1">
      <formula>SUM($G$30:$K$30)&lt;&gt;100%</formula>
    </cfRule>
  </conditionalFormatting>
  <conditionalFormatting sqref="G31:L31">
    <cfRule type="expression" priority="289" stopIfTrue="1">
      <formula>SUM($G$31:$K$31)=0%</formula>
    </cfRule>
    <cfRule type="expression" dxfId="29" priority="290" stopIfTrue="1">
      <formula>SUM($G$31:$K$31)&lt;&gt;100%</formula>
    </cfRule>
  </conditionalFormatting>
  <conditionalFormatting sqref="G32:L32">
    <cfRule type="expression" priority="293" stopIfTrue="1">
      <formula>SUM($G$32:$K$32)=0%</formula>
    </cfRule>
    <cfRule type="expression" dxfId="28" priority="294" stopIfTrue="1">
      <formula>SUM($G$32:$K$32)&lt;&gt;100%</formula>
    </cfRule>
  </conditionalFormatting>
  <conditionalFormatting sqref="G33:L33">
    <cfRule type="expression" priority="297" stopIfTrue="1">
      <formula>SUM($G$33:$K$33)=0%</formula>
    </cfRule>
    <cfRule type="expression" dxfId="27" priority="298" stopIfTrue="1">
      <formula>SUM($G$33:$K$33)&lt;&gt;100%</formula>
    </cfRule>
  </conditionalFormatting>
  <conditionalFormatting sqref="G34:L34">
    <cfRule type="expression" priority="301" stopIfTrue="1">
      <formula>SUM($G$34:$K$34)=0%</formula>
    </cfRule>
    <cfRule type="expression" dxfId="26" priority="302" stopIfTrue="1">
      <formula>SUM($G$34:$K$34)&lt;&gt;100%</formula>
    </cfRule>
  </conditionalFormatting>
  <conditionalFormatting sqref="G39:L39">
    <cfRule type="expression" priority="305" stopIfTrue="1">
      <formula>SUM($G$39:$K$39)=0%</formula>
    </cfRule>
    <cfRule type="expression" dxfId="25" priority="306" stopIfTrue="1">
      <formula>SUM($G$39:$K$39)&lt;&gt;100%</formula>
    </cfRule>
  </conditionalFormatting>
  <conditionalFormatting sqref="G40:L40">
    <cfRule type="expression" priority="309" stopIfTrue="1">
      <formula>SUM($G$40:$K$40)=0%</formula>
    </cfRule>
    <cfRule type="expression" dxfId="24" priority="310" stopIfTrue="1">
      <formula>SUM($G$40:$K$40)&lt;&gt;100%</formula>
    </cfRule>
  </conditionalFormatting>
  <conditionalFormatting sqref="G41:L41">
    <cfRule type="expression" priority="313" stopIfTrue="1">
      <formula>SUM($G$41:$K$41)=0%</formula>
    </cfRule>
    <cfRule type="expression" dxfId="23" priority="314" stopIfTrue="1">
      <formula>SUM($G$41:$K$41)&lt;&gt;100%</formula>
    </cfRule>
  </conditionalFormatting>
  <conditionalFormatting sqref="G42:L42">
    <cfRule type="expression" priority="317" stopIfTrue="1">
      <formula>SUM($G$42:$K$42)=0%</formula>
    </cfRule>
    <cfRule type="expression" dxfId="22" priority="318" stopIfTrue="1">
      <formula>SUM($G$42:$K$42)&lt;&gt;100%</formula>
    </cfRule>
  </conditionalFormatting>
  <conditionalFormatting sqref="G43:L43">
    <cfRule type="expression" priority="321" stopIfTrue="1">
      <formula>SUM($G$43:$K$43)=0%</formula>
    </cfRule>
    <cfRule type="expression" dxfId="21" priority="322" stopIfTrue="1">
      <formula>SUM($G$43:$K$43)&lt;&gt;100%</formula>
    </cfRule>
  </conditionalFormatting>
  <conditionalFormatting sqref="G44:L44">
    <cfRule type="expression" priority="325" stopIfTrue="1">
      <formula>SUM($G$44:$K$44)=0%</formula>
    </cfRule>
    <cfRule type="expression" dxfId="20" priority="326" stopIfTrue="1">
      <formula>SUM($G$44:$K$44)&lt;&gt;100%</formula>
    </cfRule>
  </conditionalFormatting>
  <conditionalFormatting sqref="G45:L45">
    <cfRule type="expression" priority="329" stopIfTrue="1">
      <formula>SUM($G$45:$K$45)=0%</formula>
    </cfRule>
    <cfRule type="expression" dxfId="19" priority="330" stopIfTrue="1">
      <formula>SUM($G$45:$K$45)&lt;&gt;100%</formula>
    </cfRule>
  </conditionalFormatting>
  <conditionalFormatting sqref="G46:L46">
    <cfRule type="expression" priority="333" stopIfTrue="1">
      <formula>SUM($G$46:$K$46)=0%</formula>
    </cfRule>
    <cfRule type="expression" dxfId="18" priority="334" stopIfTrue="1">
      <formula>SUM($G$46:$K$46)&lt;&gt;100%</formula>
    </cfRule>
  </conditionalFormatting>
  <conditionalFormatting sqref="G47:L47">
    <cfRule type="expression" priority="337" stopIfTrue="1">
      <formula>SUM($G$47:$K$47)=0%</formula>
    </cfRule>
    <cfRule type="expression" dxfId="17" priority="338" stopIfTrue="1">
      <formula>SUM($G$47:$K$47)&lt;&gt;100%</formula>
    </cfRule>
  </conditionalFormatting>
  <conditionalFormatting sqref="G48:L48">
    <cfRule type="expression" priority="341" stopIfTrue="1">
      <formula>SUM($G$48:$K$48)=0%</formula>
    </cfRule>
    <cfRule type="expression" dxfId="16" priority="342" stopIfTrue="1">
      <formula>SUM($G$48:$K$48)&lt;&gt;100%</formula>
    </cfRule>
  </conditionalFormatting>
  <conditionalFormatting sqref="G49:L49">
    <cfRule type="expression" priority="345" stopIfTrue="1">
      <formula>SUM($G$49:$K$49)=0%</formula>
    </cfRule>
    <cfRule type="expression" dxfId="15" priority="346" stopIfTrue="1">
      <formula>SUM($G$49:$K$49)&lt;&gt;100%</formula>
    </cfRule>
  </conditionalFormatting>
  <conditionalFormatting sqref="G50:L50">
    <cfRule type="expression" priority="349" stopIfTrue="1">
      <formula>SUM($G$50:$K$50)=0%</formula>
    </cfRule>
    <cfRule type="expression" dxfId="14" priority="350" stopIfTrue="1">
      <formula>SUM($G$50:$K$50)&lt;&gt;100%</formula>
    </cfRule>
  </conditionalFormatting>
  <conditionalFormatting sqref="G51:L51">
    <cfRule type="expression" priority="353" stopIfTrue="1">
      <formula>SUM($G$51:$K$51)=0%</formula>
    </cfRule>
    <cfRule type="expression" dxfId="13" priority="354" stopIfTrue="1">
      <formula>SUM($G$51:$K$51)&lt;&gt;100%</formula>
    </cfRule>
  </conditionalFormatting>
  <conditionalFormatting sqref="G52:L52">
    <cfRule type="expression" priority="357" stopIfTrue="1">
      <formula>SUM($G$52:$K$52)=0%</formula>
    </cfRule>
    <cfRule type="expression" dxfId="12" priority="358" stopIfTrue="1">
      <formula>SUM($G$52:$K$52)&lt;&gt;100%</formula>
    </cfRule>
  </conditionalFormatting>
  <conditionalFormatting sqref="G53:L53">
    <cfRule type="expression" priority="361" stopIfTrue="1">
      <formula>SUM($G$53:$K$53)=0%</formula>
    </cfRule>
    <cfRule type="expression" dxfId="11" priority="362" stopIfTrue="1">
      <formula>SUM($G$53:$K$53)&lt;&gt;100%</formula>
    </cfRule>
  </conditionalFormatting>
  <conditionalFormatting sqref="G54:L54">
    <cfRule type="expression" priority="365" stopIfTrue="1">
      <formula>SUM($G$54:$K$54)=0%</formula>
    </cfRule>
    <cfRule type="expression" dxfId="10" priority="366" stopIfTrue="1">
      <formula>SUM($G$54:$K$54)&lt;&gt;100%</formula>
    </cfRule>
  </conditionalFormatting>
  <conditionalFormatting sqref="G55:L55">
    <cfRule type="expression" priority="369" stopIfTrue="1">
      <formula>SUM($G$55:$K$55)=0%</formula>
    </cfRule>
    <cfRule type="expression" dxfId="9" priority="370" stopIfTrue="1">
      <formula>SUM($G$55:$K$55)&lt;&gt;100%</formula>
    </cfRule>
  </conditionalFormatting>
  <conditionalFormatting sqref="G56:L56">
    <cfRule type="expression" priority="373" stopIfTrue="1">
      <formula>SUM($G$56:$K$56)=0%</formula>
    </cfRule>
    <cfRule type="expression" dxfId="8" priority="374" stopIfTrue="1">
      <formula>SUM($G$56:$K$56)&lt;&gt;100%</formula>
    </cfRule>
  </conditionalFormatting>
  <conditionalFormatting sqref="G57:L57">
    <cfRule type="expression" priority="377" stopIfTrue="1">
      <formula>SUM($G$57:$K$57)=0%</formula>
    </cfRule>
    <cfRule type="expression" dxfId="7" priority="378" stopIfTrue="1">
      <formula>SUM($G$57:$K$57)&lt;&gt;100%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54"/>
  <sheetViews>
    <sheetView showGridLines="0" view="pageBreakPreview" zoomScale="90" zoomScaleNormal="100" zoomScaleSheetLayoutView="70" workbookViewId="0">
      <selection activeCell="K63" sqref="K63"/>
    </sheetView>
  </sheetViews>
  <sheetFormatPr defaultRowHeight="12.75" x14ac:dyDescent="0.2"/>
  <cols>
    <col min="1" max="1" width="4.5703125" customWidth="1"/>
    <col min="2" max="2" width="2.5703125" customWidth="1"/>
    <col min="3" max="3" width="6.140625" customWidth="1"/>
    <col min="4" max="4" width="2.28515625" customWidth="1"/>
    <col min="5" max="5" width="52.85546875" customWidth="1"/>
    <col min="6" max="7" width="16.140625" customWidth="1"/>
    <col min="8" max="8" width="18.42578125" customWidth="1"/>
    <col min="9" max="12" width="16.140625" customWidth="1"/>
    <col min="13" max="13" width="28.28515625" customWidth="1"/>
    <col min="14" max="14" width="55.7109375" customWidth="1"/>
    <col min="15" max="15" width="2.140625" customWidth="1"/>
  </cols>
  <sheetData>
    <row r="1" spans="1:15" ht="15" customHeight="1" x14ac:dyDescent="0.2">
      <c r="A1" s="17"/>
      <c r="B1" s="18"/>
      <c r="C1" s="18"/>
      <c r="D1" s="18"/>
      <c r="E1" s="18"/>
      <c r="F1" s="18"/>
      <c r="G1" s="18"/>
      <c r="H1" s="18"/>
      <c r="I1" s="18"/>
      <c r="J1" s="18"/>
      <c r="K1" s="18"/>
      <c r="L1" s="18"/>
      <c r="M1" s="18"/>
      <c r="N1" s="18"/>
      <c r="O1" s="19"/>
    </row>
    <row r="2" spans="1:15" ht="18" customHeight="1" x14ac:dyDescent="0.3">
      <c r="A2" s="20"/>
      <c r="B2" s="37"/>
      <c r="C2" s="37"/>
      <c r="D2" s="37"/>
      <c r="E2" s="37"/>
      <c r="F2" s="37"/>
      <c r="G2" s="37"/>
      <c r="H2" s="37"/>
      <c r="I2" s="37"/>
      <c r="J2" s="29"/>
      <c r="K2" s="31"/>
      <c r="L2" s="29"/>
      <c r="M2" s="31" t="s">
        <v>1</v>
      </c>
      <c r="N2" s="47" t="str">
        <f>IF(NOT(ISBLANK(CoverSheet!$C$8)),CoverSheet!$C$8,"")</f>
        <v>Aurora Energy Limited</v>
      </c>
      <c r="O2" s="12"/>
    </row>
    <row r="3" spans="1:15" ht="18" customHeight="1" x14ac:dyDescent="0.25">
      <c r="A3" s="20"/>
      <c r="B3" s="37"/>
      <c r="C3" s="37"/>
      <c r="D3" s="37"/>
      <c r="E3" s="37"/>
      <c r="F3" s="37"/>
      <c r="G3" s="37"/>
      <c r="H3" s="37"/>
      <c r="I3" s="37"/>
      <c r="J3" s="29"/>
      <c r="K3" s="31"/>
      <c r="L3" s="29"/>
      <c r="M3" s="31" t="s">
        <v>37</v>
      </c>
      <c r="N3" s="48" t="str">
        <f>IF(ISNUMBER(CoverSheet!$C$12),TEXT(CoverSheet!$C$12,"_([$-1409]d mmmm yyyy;_(@")&amp;" –"&amp;TEXT(DATE(YEAR(CoverSheet!$C$12)+10,MONTH(CoverSheet!$C$12),DAY(CoverSheet!$C$12)-1),"_([$-1409]d mmmm yyyy;_(@"),"")</f>
        <v xml:space="preserve"> 1 April 2024 – 31 March 2034</v>
      </c>
      <c r="O3" s="12"/>
    </row>
    <row r="4" spans="1:15" ht="21" x14ac:dyDescent="0.35">
      <c r="A4" s="54" t="s">
        <v>259</v>
      </c>
      <c r="B4" s="40"/>
      <c r="C4" s="37"/>
      <c r="D4" s="37"/>
      <c r="E4" s="37"/>
      <c r="F4" s="37"/>
      <c r="G4" s="37"/>
      <c r="H4" s="37"/>
      <c r="I4" s="37"/>
      <c r="J4" s="37"/>
      <c r="K4" s="38"/>
      <c r="L4" s="37"/>
      <c r="M4" s="37"/>
      <c r="N4" s="37"/>
      <c r="O4" s="12"/>
    </row>
    <row r="5" spans="1:15" s="3" customFormat="1" ht="42" customHeight="1" x14ac:dyDescent="0.2">
      <c r="A5" s="230" t="s">
        <v>260</v>
      </c>
      <c r="B5" s="231"/>
      <c r="C5" s="231"/>
      <c r="D5" s="231"/>
      <c r="E5" s="231"/>
      <c r="F5" s="231"/>
      <c r="G5" s="231"/>
      <c r="H5" s="231"/>
      <c r="I5" s="231"/>
      <c r="J5" s="231"/>
      <c r="K5" s="231"/>
      <c r="L5" s="231"/>
      <c r="M5" s="231"/>
      <c r="N5" s="28"/>
      <c r="O5" s="32"/>
    </row>
    <row r="6" spans="1:15" ht="15" customHeight="1" x14ac:dyDescent="0.2">
      <c r="A6" s="25" t="s">
        <v>39</v>
      </c>
      <c r="B6" s="38"/>
      <c r="C6" s="38"/>
      <c r="D6" s="37"/>
      <c r="E6" s="37"/>
      <c r="F6" s="37"/>
      <c r="G6" s="37"/>
      <c r="H6" s="37"/>
      <c r="I6" s="37"/>
      <c r="J6" s="37"/>
      <c r="K6" s="37"/>
      <c r="L6" s="37"/>
      <c r="M6" s="37"/>
      <c r="N6" s="37"/>
      <c r="O6" s="12"/>
    </row>
    <row r="7" spans="1:15" ht="30" customHeight="1" x14ac:dyDescent="0.3">
      <c r="A7" s="30">
        <v>7</v>
      </c>
      <c r="B7" s="33"/>
      <c r="C7" s="71" t="s">
        <v>261</v>
      </c>
      <c r="D7" s="49"/>
      <c r="E7" s="49"/>
      <c r="F7" s="49"/>
      <c r="G7" s="49"/>
      <c r="H7" s="49"/>
      <c r="I7" s="49"/>
      <c r="J7" s="49"/>
      <c r="K7" s="50"/>
      <c r="L7" s="50"/>
      <c r="M7" s="50"/>
      <c r="N7" s="50"/>
      <c r="O7" s="8"/>
    </row>
    <row r="8" spans="1:15" s="5" customFormat="1" ht="51" customHeight="1" x14ac:dyDescent="0.2">
      <c r="A8" s="34">
        <v>8</v>
      </c>
      <c r="B8" s="42"/>
      <c r="C8" s="72"/>
      <c r="D8" s="72"/>
      <c r="E8" s="109" t="s">
        <v>262</v>
      </c>
      <c r="F8" s="86" t="s">
        <v>263</v>
      </c>
      <c r="G8" s="86" t="s">
        <v>264</v>
      </c>
      <c r="H8" s="86" t="s">
        <v>265</v>
      </c>
      <c r="I8" s="86" t="s">
        <v>266</v>
      </c>
      <c r="J8" s="86" t="s">
        <v>267</v>
      </c>
      <c r="K8" s="86" t="s">
        <v>268</v>
      </c>
      <c r="L8" s="86" t="s">
        <v>269</v>
      </c>
      <c r="M8" s="86" t="s">
        <v>270</v>
      </c>
      <c r="N8" s="86" t="s">
        <v>271</v>
      </c>
      <c r="O8" s="16"/>
    </row>
    <row r="9" spans="1:15" ht="15.75" x14ac:dyDescent="0.25">
      <c r="A9" s="30">
        <v>9</v>
      </c>
      <c r="B9" s="33"/>
      <c r="C9" s="70"/>
      <c r="D9" s="69"/>
      <c r="E9" s="133" t="s">
        <v>612</v>
      </c>
      <c r="F9" s="120">
        <v>11.1</v>
      </c>
      <c r="G9" s="120">
        <v>15</v>
      </c>
      <c r="H9" s="120" t="s">
        <v>613</v>
      </c>
      <c r="I9" s="120">
        <v>4</v>
      </c>
      <c r="J9" s="147">
        <f>IF(G9=0,"-",F9/G9)</f>
        <v>0.74</v>
      </c>
      <c r="K9" s="120">
        <v>15</v>
      </c>
      <c r="L9" s="128">
        <f>IF(K9=0,"-",12.7/K9)</f>
        <v>0.84666666666666657</v>
      </c>
      <c r="M9" s="111" t="s">
        <v>659</v>
      </c>
      <c r="N9" s="133"/>
      <c r="O9" s="7"/>
    </row>
    <row r="10" spans="1:15" ht="76.5" x14ac:dyDescent="0.25">
      <c r="A10" s="30">
        <v>10</v>
      </c>
      <c r="B10" s="33"/>
      <c r="C10" s="70"/>
      <c r="D10" s="69"/>
      <c r="E10" s="133" t="s">
        <v>614</v>
      </c>
      <c r="F10" s="120">
        <v>4.2</v>
      </c>
      <c r="G10" s="120">
        <v>0</v>
      </c>
      <c r="H10" s="120" t="s">
        <v>615</v>
      </c>
      <c r="I10" s="120">
        <v>4</v>
      </c>
      <c r="J10" s="147" t="str">
        <f>IF(G10=0,"-",F10/G10)</f>
        <v>-</v>
      </c>
      <c r="K10" s="120"/>
      <c r="L10" s="128"/>
      <c r="M10" s="111" t="s">
        <v>659</v>
      </c>
      <c r="N10" s="211" t="s">
        <v>660</v>
      </c>
      <c r="O10" s="7"/>
    </row>
    <row r="11" spans="1:15" ht="76.5" x14ac:dyDescent="0.25">
      <c r="A11" s="30">
        <v>11</v>
      </c>
      <c r="B11" s="33"/>
      <c r="C11" s="70"/>
      <c r="D11" s="69"/>
      <c r="E11" s="133" t="s">
        <v>616</v>
      </c>
      <c r="F11" s="120">
        <v>0</v>
      </c>
      <c r="G11" s="120">
        <v>0</v>
      </c>
      <c r="H11" s="120">
        <v>0</v>
      </c>
      <c r="I11" s="120">
        <v>0</v>
      </c>
      <c r="J11" s="147" t="str">
        <f t="shared" ref="J11:J52" si="0">IF(G11=0,"-",F11/G11)</f>
        <v>-</v>
      </c>
      <c r="K11" s="120"/>
      <c r="L11" s="128"/>
      <c r="M11" s="111" t="s">
        <v>659</v>
      </c>
      <c r="N11" s="211" t="s">
        <v>661</v>
      </c>
      <c r="O11" s="7"/>
    </row>
    <row r="12" spans="1:15" ht="25.5" x14ac:dyDescent="0.25">
      <c r="A12" s="30">
        <v>12</v>
      </c>
      <c r="B12" s="33"/>
      <c r="C12" s="70"/>
      <c r="D12" s="69"/>
      <c r="E12" s="133" t="s">
        <v>617</v>
      </c>
      <c r="F12" s="120">
        <v>0</v>
      </c>
      <c r="G12" s="120">
        <v>0</v>
      </c>
      <c r="H12" s="120" t="s">
        <v>615</v>
      </c>
      <c r="I12" s="120"/>
      <c r="J12" s="147" t="str">
        <f t="shared" si="0"/>
        <v>-</v>
      </c>
      <c r="K12" s="120"/>
      <c r="L12" s="128"/>
      <c r="M12" s="111" t="s">
        <v>659</v>
      </c>
      <c r="N12" s="211" t="s">
        <v>662</v>
      </c>
      <c r="O12" s="7"/>
    </row>
    <row r="13" spans="1:15" ht="51" x14ac:dyDescent="0.25">
      <c r="A13" s="30">
        <v>13</v>
      </c>
      <c r="B13" s="33"/>
      <c r="C13" s="70"/>
      <c r="D13" s="69"/>
      <c r="E13" s="133" t="s">
        <v>618</v>
      </c>
      <c r="F13" s="120">
        <v>2</v>
      </c>
      <c r="G13" s="120">
        <v>0</v>
      </c>
      <c r="H13" s="120" t="s">
        <v>615</v>
      </c>
      <c r="I13" s="120">
        <v>0.7</v>
      </c>
      <c r="J13" s="147" t="str">
        <f t="shared" si="0"/>
        <v>-</v>
      </c>
      <c r="K13" s="120"/>
      <c r="L13" s="128"/>
      <c r="M13" s="111" t="s">
        <v>659</v>
      </c>
      <c r="N13" s="211" t="s">
        <v>663</v>
      </c>
      <c r="O13" s="7"/>
    </row>
    <row r="14" spans="1:15" ht="153" x14ac:dyDescent="0.25">
      <c r="A14" s="30">
        <v>14</v>
      </c>
      <c r="B14" s="33"/>
      <c r="C14" s="70"/>
      <c r="D14" s="69"/>
      <c r="E14" s="133" t="s">
        <v>619</v>
      </c>
      <c r="F14" s="120">
        <v>1</v>
      </c>
      <c r="G14" s="120">
        <v>0</v>
      </c>
      <c r="H14" s="120" t="s">
        <v>615</v>
      </c>
      <c r="I14" s="120">
        <v>0.23</v>
      </c>
      <c r="J14" s="147" t="str">
        <f t="shared" si="0"/>
        <v>-</v>
      </c>
      <c r="K14" s="120"/>
      <c r="L14" s="128"/>
      <c r="M14" s="111" t="s">
        <v>664</v>
      </c>
      <c r="N14" s="211" t="s">
        <v>665</v>
      </c>
      <c r="O14" s="7"/>
    </row>
    <row r="15" spans="1:15" ht="165.75" x14ac:dyDescent="0.25">
      <c r="A15" s="30">
        <v>15</v>
      </c>
      <c r="B15" s="33"/>
      <c r="C15" s="70"/>
      <c r="D15" s="69"/>
      <c r="E15" s="133" t="s">
        <v>620</v>
      </c>
      <c r="F15" s="120">
        <v>3.2</v>
      </c>
      <c r="G15" s="120">
        <v>0</v>
      </c>
      <c r="H15" s="120" t="s">
        <v>615</v>
      </c>
      <c r="I15" s="120">
        <v>0.44</v>
      </c>
      <c r="J15" s="147" t="str">
        <f t="shared" si="0"/>
        <v>-</v>
      </c>
      <c r="K15" s="120"/>
      <c r="L15" s="128"/>
      <c r="M15" s="111" t="s">
        <v>664</v>
      </c>
      <c r="N15" s="211" t="s">
        <v>666</v>
      </c>
      <c r="O15" s="7"/>
    </row>
    <row r="16" spans="1:15" ht="15.75" x14ac:dyDescent="0.25">
      <c r="A16" s="30">
        <v>16</v>
      </c>
      <c r="B16" s="33"/>
      <c r="C16" s="70"/>
      <c r="D16" s="69"/>
      <c r="E16" s="133" t="s">
        <v>621</v>
      </c>
      <c r="F16" s="120">
        <v>2.1</v>
      </c>
      <c r="G16" s="120">
        <v>0</v>
      </c>
      <c r="H16" s="120" t="s">
        <v>615</v>
      </c>
      <c r="I16" s="120">
        <v>0.64</v>
      </c>
      <c r="J16" s="147" t="str">
        <f t="shared" si="0"/>
        <v>-</v>
      </c>
      <c r="K16" s="120"/>
      <c r="L16" s="128"/>
      <c r="M16" s="111" t="s">
        <v>659</v>
      </c>
      <c r="N16" s="211"/>
      <c r="O16" s="7"/>
    </row>
    <row r="17" spans="1:15" ht="76.5" x14ac:dyDescent="0.25">
      <c r="A17" s="30">
        <v>17</v>
      </c>
      <c r="B17" s="33"/>
      <c r="C17" s="70"/>
      <c r="D17" s="69"/>
      <c r="E17" s="133" t="s">
        <v>622</v>
      </c>
      <c r="F17" s="120">
        <v>5.8</v>
      </c>
      <c r="G17" s="120">
        <v>0</v>
      </c>
      <c r="H17" s="120" t="s">
        <v>615</v>
      </c>
      <c r="I17" s="120">
        <v>0.94</v>
      </c>
      <c r="J17" s="147" t="str">
        <f t="shared" si="0"/>
        <v>-</v>
      </c>
      <c r="K17" s="120"/>
      <c r="L17" s="128"/>
      <c r="M17" s="111" t="s">
        <v>667</v>
      </c>
      <c r="N17" s="211" t="s">
        <v>668</v>
      </c>
      <c r="O17" s="7"/>
    </row>
    <row r="18" spans="1:15" ht="38.25" x14ac:dyDescent="0.25">
      <c r="A18" s="30">
        <v>18</v>
      </c>
      <c r="B18" s="33"/>
      <c r="C18" s="70"/>
      <c r="D18" s="69"/>
      <c r="E18" s="133" t="s">
        <v>623</v>
      </c>
      <c r="F18" s="120">
        <v>24</v>
      </c>
      <c r="G18" s="120">
        <v>0</v>
      </c>
      <c r="H18" s="120" t="s">
        <v>615</v>
      </c>
      <c r="I18" s="120">
        <v>0.06</v>
      </c>
      <c r="J18" s="147" t="str">
        <f t="shared" si="0"/>
        <v>-</v>
      </c>
      <c r="K18" s="120"/>
      <c r="L18" s="128"/>
      <c r="M18" s="111" t="s">
        <v>659</v>
      </c>
      <c r="N18" s="211" t="s">
        <v>669</v>
      </c>
      <c r="O18" s="7"/>
    </row>
    <row r="19" spans="1:15" ht="15.75" x14ac:dyDescent="0.25">
      <c r="A19" s="30">
        <v>19</v>
      </c>
      <c r="B19" s="33"/>
      <c r="C19" s="70"/>
      <c r="D19" s="69"/>
      <c r="E19" s="133" t="s">
        <v>624</v>
      </c>
      <c r="F19" s="120">
        <v>14</v>
      </c>
      <c r="G19" s="120">
        <v>24</v>
      </c>
      <c r="H19" s="120" t="s">
        <v>625</v>
      </c>
      <c r="I19" s="120">
        <v>1E-3</v>
      </c>
      <c r="J19" s="147">
        <f t="shared" si="0"/>
        <v>0.58333333333333337</v>
      </c>
      <c r="K19" s="120">
        <v>24</v>
      </c>
      <c r="L19" s="128">
        <f>IF(K19=0,"-",19.9/K19)</f>
        <v>0.82916666666666661</v>
      </c>
      <c r="M19" s="111" t="s">
        <v>659</v>
      </c>
      <c r="N19" s="211"/>
      <c r="O19" s="7"/>
    </row>
    <row r="20" spans="1:15" ht="89.25" x14ac:dyDescent="0.25">
      <c r="A20" s="30">
        <v>20</v>
      </c>
      <c r="B20" s="33"/>
      <c r="C20" s="70"/>
      <c r="D20" s="69"/>
      <c r="E20" s="133" t="s">
        <v>626</v>
      </c>
      <c r="F20" s="120">
        <v>8.5</v>
      </c>
      <c r="G20" s="120">
        <v>0</v>
      </c>
      <c r="H20" s="120" t="s">
        <v>615</v>
      </c>
      <c r="I20" s="120">
        <v>1.44</v>
      </c>
      <c r="J20" s="147" t="str">
        <f t="shared" si="0"/>
        <v>-</v>
      </c>
      <c r="K20" s="120"/>
      <c r="L20" s="128"/>
      <c r="M20" s="111" t="s">
        <v>667</v>
      </c>
      <c r="N20" s="211" t="s">
        <v>670</v>
      </c>
      <c r="O20" s="7"/>
    </row>
    <row r="21" spans="1:15" ht="25.5" x14ac:dyDescent="0.25">
      <c r="A21" s="30">
        <v>21</v>
      </c>
      <c r="B21" s="33"/>
      <c r="C21" s="70"/>
      <c r="D21" s="69"/>
      <c r="E21" s="133" t="s">
        <v>627</v>
      </c>
      <c r="F21" s="120">
        <v>3.4</v>
      </c>
      <c r="G21" s="120">
        <v>0</v>
      </c>
      <c r="H21" s="120" t="s">
        <v>615</v>
      </c>
      <c r="I21" s="120">
        <v>0.71099999999999997</v>
      </c>
      <c r="J21" s="147" t="str">
        <f t="shared" si="0"/>
        <v>-</v>
      </c>
      <c r="K21" s="120"/>
      <c r="L21" s="128"/>
      <c r="M21" s="111" t="s">
        <v>667</v>
      </c>
      <c r="N21" s="211" t="s">
        <v>671</v>
      </c>
      <c r="O21" s="7"/>
    </row>
    <row r="22" spans="1:15" ht="51" x14ac:dyDescent="0.25">
      <c r="A22" s="30">
        <v>22</v>
      </c>
      <c r="B22" s="33"/>
      <c r="C22" s="70"/>
      <c r="D22" s="69"/>
      <c r="E22" s="133" t="s">
        <v>628</v>
      </c>
      <c r="F22" s="120">
        <v>25.5</v>
      </c>
      <c r="G22" s="120">
        <v>24</v>
      </c>
      <c r="H22" s="120" t="s">
        <v>625</v>
      </c>
      <c r="I22" s="120">
        <v>3.1</v>
      </c>
      <c r="J22" s="147">
        <f t="shared" si="0"/>
        <v>1.0625</v>
      </c>
      <c r="K22" s="120">
        <v>24</v>
      </c>
      <c r="L22" s="128">
        <f>IF(K22=0,"-",21.5/K22)</f>
        <v>0.89583333333333337</v>
      </c>
      <c r="M22" s="111" t="s">
        <v>667</v>
      </c>
      <c r="N22" s="211" t="s">
        <v>672</v>
      </c>
      <c r="O22" s="7"/>
    </row>
    <row r="23" spans="1:15" ht="63.75" x14ac:dyDescent="0.25">
      <c r="A23" s="30">
        <v>23</v>
      </c>
      <c r="B23" s="33"/>
      <c r="C23" s="70"/>
      <c r="D23" s="69"/>
      <c r="E23" s="133" t="s">
        <v>629</v>
      </c>
      <c r="F23" s="120">
        <v>0</v>
      </c>
      <c r="G23" s="120">
        <v>0</v>
      </c>
      <c r="H23" s="120" t="s">
        <v>615</v>
      </c>
      <c r="I23" s="120"/>
      <c r="J23" s="147" t="str">
        <f t="shared" si="0"/>
        <v>-</v>
      </c>
      <c r="K23" s="120"/>
      <c r="L23" s="128"/>
      <c r="M23" s="111" t="s">
        <v>659</v>
      </c>
      <c r="N23" s="211" t="s">
        <v>673</v>
      </c>
      <c r="O23" s="7"/>
    </row>
    <row r="24" spans="1:15" ht="76.5" x14ac:dyDescent="0.25">
      <c r="A24" s="30">
        <v>24</v>
      </c>
      <c r="B24" s="33"/>
      <c r="C24" s="70"/>
      <c r="D24" s="69"/>
      <c r="E24" s="133" t="s">
        <v>630</v>
      </c>
      <c r="F24" s="120"/>
      <c r="G24" s="120"/>
      <c r="H24" s="120"/>
      <c r="I24" s="120"/>
      <c r="J24" s="147" t="str">
        <f t="shared" si="0"/>
        <v>-</v>
      </c>
      <c r="K24" s="120"/>
      <c r="L24" s="128"/>
      <c r="M24" s="111"/>
      <c r="N24" s="211" t="s">
        <v>674</v>
      </c>
      <c r="O24" s="7"/>
    </row>
    <row r="25" spans="1:15" ht="51" x14ac:dyDescent="0.25">
      <c r="A25" s="30">
        <v>25</v>
      </c>
      <c r="B25" s="33"/>
      <c r="C25" s="70"/>
      <c r="D25" s="69"/>
      <c r="E25" s="133" t="s">
        <v>631</v>
      </c>
      <c r="F25" s="120">
        <v>9.6</v>
      </c>
      <c r="G25" s="120">
        <v>10</v>
      </c>
      <c r="H25" s="120" t="s">
        <v>613</v>
      </c>
      <c r="I25" s="120">
        <v>0.55900000000000005</v>
      </c>
      <c r="J25" s="147">
        <f t="shared" si="0"/>
        <v>0.96</v>
      </c>
      <c r="K25" s="120">
        <v>10</v>
      </c>
      <c r="L25" s="128">
        <f>IF(K25=0,"-",9.9/K25)</f>
        <v>0.99</v>
      </c>
      <c r="M25" s="111" t="s">
        <v>667</v>
      </c>
      <c r="N25" s="211" t="s">
        <v>675</v>
      </c>
      <c r="O25" s="7"/>
    </row>
    <row r="26" spans="1:15" ht="63.75" x14ac:dyDescent="0.25">
      <c r="A26" s="30">
        <v>26</v>
      </c>
      <c r="B26" s="33"/>
      <c r="C26" s="70"/>
      <c r="D26" s="69"/>
      <c r="E26" s="133" t="s">
        <v>632</v>
      </c>
      <c r="F26" s="120"/>
      <c r="G26" s="120"/>
      <c r="H26" s="120"/>
      <c r="I26" s="120"/>
      <c r="J26" s="147" t="str">
        <f t="shared" si="0"/>
        <v>-</v>
      </c>
      <c r="K26" s="120"/>
      <c r="L26" s="128"/>
      <c r="M26" s="111"/>
      <c r="N26" s="211" t="s">
        <v>676</v>
      </c>
      <c r="O26" s="7"/>
    </row>
    <row r="27" spans="1:15" ht="15.75" x14ac:dyDescent="0.25">
      <c r="A27" s="30">
        <v>27</v>
      </c>
      <c r="B27" s="33"/>
      <c r="C27" s="70"/>
      <c r="D27" s="69"/>
      <c r="E27" s="133" t="s">
        <v>633</v>
      </c>
      <c r="F27" s="120">
        <v>11.8</v>
      </c>
      <c r="G27" s="120">
        <v>17</v>
      </c>
      <c r="H27" s="120" t="s">
        <v>613</v>
      </c>
      <c r="I27" s="120">
        <v>6.38</v>
      </c>
      <c r="J27" s="147">
        <f t="shared" si="0"/>
        <v>0.69411764705882362</v>
      </c>
      <c r="K27" s="120">
        <v>17</v>
      </c>
      <c r="L27" s="128">
        <f>IF(K27=0,"-",12.6/K27)</f>
        <v>0.74117647058823533</v>
      </c>
      <c r="M27" s="111" t="s">
        <v>659</v>
      </c>
      <c r="N27" s="133"/>
      <c r="O27" s="7"/>
    </row>
    <row r="28" spans="1:15" ht="25.5" x14ac:dyDescent="0.25">
      <c r="A28" s="30"/>
      <c r="B28" s="33"/>
      <c r="C28" s="70"/>
      <c r="D28" s="69"/>
      <c r="E28" s="133" t="s">
        <v>634</v>
      </c>
      <c r="F28" s="120">
        <v>5.2</v>
      </c>
      <c r="G28" s="120">
        <v>0</v>
      </c>
      <c r="H28" s="120" t="s">
        <v>625</v>
      </c>
      <c r="I28" s="120">
        <v>0.85899999999999999</v>
      </c>
      <c r="J28" s="147" t="str">
        <f t="shared" si="0"/>
        <v>-</v>
      </c>
      <c r="K28" s="120"/>
      <c r="L28" s="128">
        <v>0</v>
      </c>
      <c r="M28" s="111" t="s">
        <v>659</v>
      </c>
      <c r="N28" s="211" t="s">
        <v>677</v>
      </c>
      <c r="O28" s="7"/>
    </row>
    <row r="29" spans="1:15" ht="51" x14ac:dyDescent="0.25">
      <c r="A29" s="30"/>
      <c r="B29" s="33"/>
      <c r="C29" s="70"/>
      <c r="D29" s="69"/>
      <c r="E29" s="133" t="s">
        <v>635</v>
      </c>
      <c r="F29" s="120">
        <v>1.7</v>
      </c>
      <c r="G29" s="120">
        <v>0</v>
      </c>
      <c r="H29" s="120" t="s">
        <v>615</v>
      </c>
      <c r="I29" s="120">
        <v>0.78</v>
      </c>
      <c r="J29" s="147" t="str">
        <f t="shared" si="0"/>
        <v>-</v>
      </c>
      <c r="K29" s="120"/>
      <c r="L29" s="128">
        <v>0</v>
      </c>
      <c r="M29" s="111" t="s">
        <v>667</v>
      </c>
      <c r="N29" s="211" t="s">
        <v>678</v>
      </c>
      <c r="O29" s="7"/>
    </row>
    <row r="30" spans="1:15" ht="76.5" x14ac:dyDescent="0.25">
      <c r="A30" s="30"/>
      <c r="B30" s="33"/>
      <c r="C30" s="70"/>
      <c r="D30" s="69"/>
      <c r="E30" s="133" t="s">
        <v>636</v>
      </c>
      <c r="F30" s="120"/>
      <c r="G30" s="120"/>
      <c r="H30" s="120"/>
      <c r="I30" s="120"/>
      <c r="J30" s="147" t="str">
        <f t="shared" si="0"/>
        <v>-</v>
      </c>
      <c r="K30" s="120"/>
      <c r="L30" s="128"/>
      <c r="M30" s="111"/>
      <c r="N30" s="211" t="s">
        <v>679</v>
      </c>
      <c r="O30" s="7"/>
    </row>
    <row r="31" spans="1:15" ht="38.25" x14ac:dyDescent="0.25">
      <c r="A31" s="30"/>
      <c r="B31" s="33"/>
      <c r="C31" s="70"/>
      <c r="D31" s="69"/>
      <c r="E31" s="133" t="s">
        <v>637</v>
      </c>
      <c r="F31" s="120">
        <v>6.5</v>
      </c>
      <c r="G31" s="120">
        <v>10</v>
      </c>
      <c r="H31" s="120" t="s">
        <v>613</v>
      </c>
      <c r="I31" s="120">
        <v>0.64</v>
      </c>
      <c r="J31" s="147">
        <f t="shared" si="0"/>
        <v>0.65</v>
      </c>
      <c r="K31" s="120">
        <v>10</v>
      </c>
      <c r="L31" s="128">
        <f>IF(K31=0,"-",8.8/K31)</f>
        <v>0.88000000000000012</v>
      </c>
      <c r="M31" s="111" t="s">
        <v>659</v>
      </c>
      <c r="N31" s="211" t="s">
        <v>680</v>
      </c>
      <c r="O31" s="7"/>
    </row>
    <row r="32" spans="1:15" ht="51" x14ac:dyDescent="0.25">
      <c r="A32" s="30"/>
      <c r="B32" s="33"/>
      <c r="C32" s="70"/>
      <c r="D32" s="69"/>
      <c r="E32" s="133" t="s">
        <v>638</v>
      </c>
      <c r="F32" s="120">
        <v>18.2</v>
      </c>
      <c r="G32" s="120">
        <v>15</v>
      </c>
      <c r="H32" s="120" t="s">
        <v>625</v>
      </c>
      <c r="I32" s="120">
        <v>0.92</v>
      </c>
      <c r="J32" s="147">
        <f t="shared" si="0"/>
        <v>1.2133333333333334</v>
      </c>
      <c r="K32" s="120">
        <v>24</v>
      </c>
      <c r="L32" s="128">
        <f>IF(K32=0,"-",23/K32)</f>
        <v>0.95833333333333337</v>
      </c>
      <c r="M32" s="111" t="s">
        <v>667</v>
      </c>
      <c r="N32" s="211" t="s">
        <v>681</v>
      </c>
      <c r="O32" s="7"/>
    </row>
    <row r="33" spans="1:15" ht="15.75" x14ac:dyDescent="0.25">
      <c r="A33" s="30"/>
      <c r="B33" s="33"/>
      <c r="C33" s="70"/>
      <c r="D33" s="69"/>
      <c r="E33" s="133" t="s">
        <v>639</v>
      </c>
      <c r="F33" s="120">
        <v>12.7</v>
      </c>
      <c r="G33" s="120">
        <v>20</v>
      </c>
      <c r="H33" s="120" t="s">
        <v>613</v>
      </c>
      <c r="I33" s="120">
        <v>2.4340000000000002</v>
      </c>
      <c r="J33" s="147">
        <f t="shared" si="0"/>
        <v>0.63500000000000001</v>
      </c>
      <c r="K33" s="120">
        <v>20</v>
      </c>
      <c r="L33" s="128">
        <f>IF(K33=0,"-",15.6/K33)</f>
        <v>0.78</v>
      </c>
      <c r="M33" s="111" t="s">
        <v>659</v>
      </c>
      <c r="N33" s="211"/>
      <c r="O33" s="7"/>
    </row>
    <row r="34" spans="1:15" ht="15.75" x14ac:dyDescent="0.25">
      <c r="A34" s="30"/>
      <c r="B34" s="33"/>
      <c r="C34" s="70"/>
      <c r="D34" s="69"/>
      <c r="E34" s="133" t="s">
        <v>640</v>
      </c>
      <c r="F34" s="120">
        <v>2.2999999999999998</v>
      </c>
      <c r="G34" s="120">
        <v>0</v>
      </c>
      <c r="H34" s="120" t="s">
        <v>615</v>
      </c>
      <c r="I34" s="120">
        <v>1E-3</v>
      </c>
      <c r="J34" s="147" t="str">
        <f t="shared" si="0"/>
        <v>-</v>
      </c>
      <c r="K34" s="120"/>
      <c r="L34" s="128">
        <v>0</v>
      </c>
      <c r="M34" s="111" t="s">
        <v>659</v>
      </c>
      <c r="N34" s="211"/>
      <c r="O34" s="7"/>
    </row>
    <row r="35" spans="1:15" ht="15.75" x14ac:dyDescent="0.25">
      <c r="A35" s="30"/>
      <c r="B35" s="33"/>
      <c r="C35" s="70"/>
      <c r="D35" s="69"/>
      <c r="E35" s="133" t="s">
        <v>641</v>
      </c>
      <c r="F35" s="120">
        <v>1.6</v>
      </c>
      <c r="G35" s="120">
        <v>0</v>
      </c>
      <c r="H35" s="120" t="s">
        <v>615</v>
      </c>
      <c r="I35" s="120">
        <v>0.3</v>
      </c>
      <c r="J35" s="147" t="str">
        <f t="shared" si="0"/>
        <v>-</v>
      </c>
      <c r="K35" s="120"/>
      <c r="L35" s="128">
        <v>0</v>
      </c>
      <c r="M35" s="111" t="s">
        <v>659</v>
      </c>
      <c r="N35" s="211"/>
      <c r="O35" s="7"/>
    </row>
    <row r="36" spans="1:15" ht="15.75" x14ac:dyDescent="0.25">
      <c r="A36" s="30"/>
      <c r="B36" s="33"/>
      <c r="C36" s="70"/>
      <c r="D36" s="69"/>
      <c r="E36" s="133" t="s">
        <v>642</v>
      </c>
      <c r="F36" s="120">
        <v>18.600000000000001</v>
      </c>
      <c r="G36" s="120">
        <v>24</v>
      </c>
      <c r="H36" s="120" t="s">
        <v>613</v>
      </c>
      <c r="I36" s="120">
        <v>2.27</v>
      </c>
      <c r="J36" s="147">
        <f t="shared" si="0"/>
        <v>0.77500000000000002</v>
      </c>
      <c r="K36" s="120">
        <v>24</v>
      </c>
      <c r="L36" s="128">
        <f>IF(K36=0,"-",20.1/K36)</f>
        <v>0.83750000000000002</v>
      </c>
      <c r="M36" s="111" t="s">
        <v>659</v>
      </c>
      <c r="N36" s="211"/>
      <c r="O36" s="7"/>
    </row>
    <row r="37" spans="1:15" ht="15.75" x14ac:dyDescent="0.25">
      <c r="A37" s="30"/>
      <c r="B37" s="33"/>
      <c r="C37" s="70"/>
      <c r="D37" s="69"/>
      <c r="E37" s="133" t="s">
        <v>643</v>
      </c>
      <c r="F37" s="120">
        <v>14</v>
      </c>
      <c r="G37" s="120">
        <v>18</v>
      </c>
      <c r="H37" s="120" t="s">
        <v>625</v>
      </c>
      <c r="I37" s="120">
        <v>3.33</v>
      </c>
      <c r="J37" s="147">
        <f t="shared" si="0"/>
        <v>0.77777777777777779</v>
      </c>
      <c r="K37" s="120">
        <v>18</v>
      </c>
      <c r="L37" s="128">
        <f>IF(K37=0,"-",15.4/K37)</f>
        <v>0.85555555555555562</v>
      </c>
      <c r="M37" s="111" t="s">
        <v>659</v>
      </c>
      <c r="N37" s="211"/>
      <c r="O37" s="7"/>
    </row>
    <row r="38" spans="1:15" ht="15.75" x14ac:dyDescent="0.25">
      <c r="A38" s="30"/>
      <c r="B38" s="33"/>
      <c r="C38" s="70"/>
      <c r="D38" s="69"/>
      <c r="E38" s="133" t="s">
        <v>644</v>
      </c>
      <c r="F38" s="120">
        <v>13.9</v>
      </c>
      <c r="G38" s="120">
        <v>18</v>
      </c>
      <c r="H38" s="120" t="s">
        <v>625</v>
      </c>
      <c r="I38" s="120">
        <v>1.919</v>
      </c>
      <c r="J38" s="147">
        <f t="shared" si="0"/>
        <v>0.77222222222222225</v>
      </c>
      <c r="K38" s="120">
        <v>18</v>
      </c>
      <c r="L38" s="128">
        <f>IF(K38=0,"-",14.4/K38)</f>
        <v>0.8</v>
      </c>
      <c r="M38" s="111" t="s">
        <v>659</v>
      </c>
      <c r="N38" s="211"/>
      <c r="O38" s="7"/>
    </row>
    <row r="39" spans="1:15" ht="15.75" x14ac:dyDescent="0.25">
      <c r="A39" s="30"/>
      <c r="B39" s="33"/>
      <c r="C39" s="70"/>
      <c r="D39" s="69"/>
      <c r="E39" s="133" t="s">
        <v>645</v>
      </c>
      <c r="F39" s="120">
        <v>10.6</v>
      </c>
      <c r="G39" s="120">
        <v>23</v>
      </c>
      <c r="H39" s="120" t="s">
        <v>625</v>
      </c>
      <c r="I39" s="120">
        <v>7.0330000000000004</v>
      </c>
      <c r="J39" s="147">
        <f t="shared" si="0"/>
        <v>0.46086956521739131</v>
      </c>
      <c r="K39" s="120">
        <v>23</v>
      </c>
      <c r="L39" s="128">
        <f>IF(K39=0,"-",11.2/K39)</f>
        <v>0.4869565217391304</v>
      </c>
      <c r="M39" s="111" t="s">
        <v>659</v>
      </c>
      <c r="N39" s="211"/>
      <c r="O39" s="7"/>
    </row>
    <row r="40" spans="1:15" ht="63.75" x14ac:dyDescent="0.25">
      <c r="A40" s="30"/>
      <c r="B40" s="33"/>
      <c r="C40" s="70"/>
      <c r="D40" s="69"/>
      <c r="E40" s="133" t="s">
        <v>646</v>
      </c>
      <c r="F40" s="120">
        <v>7.3</v>
      </c>
      <c r="G40" s="120">
        <v>12</v>
      </c>
      <c r="H40" s="120" t="s">
        <v>613</v>
      </c>
      <c r="I40" s="120">
        <v>0.77800000000000002</v>
      </c>
      <c r="J40" s="147">
        <f t="shared" si="0"/>
        <v>0.60833333333333328</v>
      </c>
      <c r="K40" s="120">
        <v>12</v>
      </c>
      <c r="L40" s="128">
        <f>IF(K40=0,"-",11.9/K40)</f>
        <v>0.9916666666666667</v>
      </c>
      <c r="M40" s="111" t="s">
        <v>659</v>
      </c>
      <c r="N40" s="211" t="s">
        <v>682</v>
      </c>
      <c r="O40" s="7"/>
    </row>
    <row r="41" spans="1:15" ht="15.75" x14ac:dyDescent="0.25">
      <c r="A41" s="30"/>
      <c r="B41" s="33"/>
      <c r="C41" s="70"/>
      <c r="D41" s="69"/>
      <c r="E41" s="133" t="s">
        <v>647</v>
      </c>
      <c r="F41" s="120">
        <v>10.8</v>
      </c>
      <c r="G41" s="120">
        <v>18</v>
      </c>
      <c r="H41" s="120" t="s">
        <v>625</v>
      </c>
      <c r="I41" s="120">
        <v>4.7329999999999997</v>
      </c>
      <c r="J41" s="147">
        <f t="shared" si="0"/>
        <v>0.60000000000000009</v>
      </c>
      <c r="K41" s="120">
        <v>18</v>
      </c>
      <c r="L41" s="128">
        <f>IF(K41=0,"-",11.3/K41)</f>
        <v>0.62777777777777777</v>
      </c>
      <c r="M41" s="111" t="s">
        <v>659</v>
      </c>
      <c r="N41" s="211"/>
      <c r="O41" s="7"/>
    </row>
    <row r="42" spans="1:15" ht="15.75" x14ac:dyDescent="0.25">
      <c r="A42" s="30"/>
      <c r="B42" s="33"/>
      <c r="C42" s="70"/>
      <c r="D42" s="69"/>
      <c r="E42" s="133" t="s">
        <v>648</v>
      </c>
      <c r="F42" s="120">
        <v>3</v>
      </c>
      <c r="G42" s="120">
        <v>0</v>
      </c>
      <c r="H42" s="120" t="s">
        <v>615</v>
      </c>
      <c r="I42" s="120">
        <v>1.343</v>
      </c>
      <c r="J42" s="147" t="str">
        <f t="shared" si="0"/>
        <v>-</v>
      </c>
      <c r="K42" s="120"/>
      <c r="L42" s="128">
        <v>0</v>
      </c>
      <c r="M42" s="111" t="s">
        <v>659</v>
      </c>
      <c r="N42" s="211"/>
      <c r="O42" s="7"/>
    </row>
    <row r="43" spans="1:15" ht="25.5" x14ac:dyDescent="0.25">
      <c r="A43" s="30"/>
      <c r="B43" s="33"/>
      <c r="C43" s="70"/>
      <c r="D43" s="69"/>
      <c r="E43" s="133" t="s">
        <v>649</v>
      </c>
      <c r="F43" s="120">
        <v>7.7</v>
      </c>
      <c r="G43" s="120">
        <v>10</v>
      </c>
      <c r="H43" s="120" t="s">
        <v>625</v>
      </c>
      <c r="I43" s="120">
        <v>0.92200000000000004</v>
      </c>
      <c r="J43" s="147">
        <f t="shared" si="0"/>
        <v>0.77</v>
      </c>
      <c r="K43" s="120">
        <v>10</v>
      </c>
      <c r="L43" s="128">
        <f>IF(K43=0,"-",9.3/K43)</f>
        <v>0.93</v>
      </c>
      <c r="M43" s="111" t="s">
        <v>659</v>
      </c>
      <c r="N43" s="211" t="s">
        <v>683</v>
      </c>
      <c r="O43" s="7"/>
    </row>
    <row r="44" spans="1:15" ht="25.5" x14ac:dyDescent="0.25">
      <c r="A44" s="30"/>
      <c r="B44" s="33"/>
      <c r="C44" s="70"/>
      <c r="D44" s="69"/>
      <c r="E44" s="133" t="s">
        <v>650</v>
      </c>
      <c r="F44" s="120">
        <v>12.6</v>
      </c>
      <c r="G44" s="120">
        <v>18</v>
      </c>
      <c r="H44" s="120" t="s">
        <v>625</v>
      </c>
      <c r="I44" s="120">
        <v>10.477</v>
      </c>
      <c r="J44" s="147">
        <f t="shared" si="0"/>
        <v>0.7</v>
      </c>
      <c r="K44" s="120">
        <v>18</v>
      </c>
      <c r="L44" s="128">
        <f>IF(K44=0,"-",16/K44)</f>
        <v>0.88888888888888884</v>
      </c>
      <c r="M44" s="111" t="s">
        <v>659</v>
      </c>
      <c r="N44" s="211" t="s">
        <v>684</v>
      </c>
      <c r="O44" s="7"/>
    </row>
    <row r="45" spans="1:15" ht="38.25" x14ac:dyDescent="0.25">
      <c r="A45" s="30"/>
      <c r="B45" s="33"/>
      <c r="C45" s="70"/>
      <c r="D45" s="69"/>
      <c r="E45" s="133" t="s">
        <v>651</v>
      </c>
      <c r="F45" s="120">
        <v>9.5</v>
      </c>
      <c r="G45" s="120">
        <v>23</v>
      </c>
      <c r="H45" s="120" t="s">
        <v>625</v>
      </c>
      <c r="I45" s="120">
        <v>4.5199999999999996</v>
      </c>
      <c r="J45" s="147">
        <f t="shared" si="0"/>
        <v>0.41304347826086957</v>
      </c>
      <c r="K45" s="120">
        <v>23</v>
      </c>
      <c r="L45" s="128">
        <f>IF(K45=0,"-",12.7/K45)</f>
        <v>0.55217391304347818</v>
      </c>
      <c r="M45" s="111" t="s">
        <v>659</v>
      </c>
      <c r="N45" s="211" t="s">
        <v>685</v>
      </c>
      <c r="O45" s="7"/>
    </row>
    <row r="46" spans="1:15" ht="15.75" x14ac:dyDescent="0.25">
      <c r="A46" s="30"/>
      <c r="B46" s="33"/>
      <c r="C46" s="70"/>
      <c r="D46" s="69"/>
      <c r="E46" s="133" t="s">
        <v>652</v>
      </c>
      <c r="F46" s="120">
        <v>12.9</v>
      </c>
      <c r="G46" s="120">
        <v>18</v>
      </c>
      <c r="H46" s="120" t="s">
        <v>625</v>
      </c>
      <c r="I46" s="120">
        <v>3.3540000000000001</v>
      </c>
      <c r="J46" s="147">
        <f t="shared" si="0"/>
        <v>0.71666666666666667</v>
      </c>
      <c r="K46" s="120">
        <v>18</v>
      </c>
      <c r="L46" s="128">
        <f>IF(K46=0,"-",13.2/K46)</f>
        <v>0.73333333333333328</v>
      </c>
      <c r="M46" s="111" t="s">
        <v>659</v>
      </c>
      <c r="N46" s="211"/>
      <c r="O46" s="7"/>
    </row>
    <row r="47" spans="1:15" ht="15.75" x14ac:dyDescent="0.25">
      <c r="A47" s="30"/>
      <c r="B47" s="33"/>
      <c r="C47" s="70"/>
      <c r="D47" s="69"/>
      <c r="E47" s="133" t="s">
        <v>653</v>
      </c>
      <c r="F47" s="120">
        <v>15.1</v>
      </c>
      <c r="G47" s="120">
        <v>24</v>
      </c>
      <c r="H47" s="120" t="s">
        <v>625</v>
      </c>
      <c r="I47" s="120">
        <v>1E-3</v>
      </c>
      <c r="J47" s="147">
        <f t="shared" si="0"/>
        <v>0.62916666666666665</v>
      </c>
      <c r="K47" s="120">
        <v>24</v>
      </c>
      <c r="L47" s="128">
        <f>IF(K47=0,"-",16.3/K47)</f>
        <v>0.6791666666666667</v>
      </c>
      <c r="M47" s="111" t="s">
        <v>659</v>
      </c>
      <c r="N47" s="211"/>
      <c r="O47" s="7"/>
    </row>
    <row r="48" spans="1:15" ht="15.75" x14ac:dyDescent="0.25">
      <c r="A48" s="30"/>
      <c r="B48" s="33"/>
      <c r="C48" s="70"/>
      <c r="D48" s="69"/>
      <c r="E48" s="133" t="s">
        <v>654</v>
      </c>
      <c r="F48" s="120">
        <v>10.5</v>
      </c>
      <c r="G48" s="120">
        <v>18</v>
      </c>
      <c r="H48" s="120" t="s">
        <v>625</v>
      </c>
      <c r="I48" s="120">
        <v>3.649</v>
      </c>
      <c r="J48" s="147"/>
      <c r="K48" s="120">
        <v>18</v>
      </c>
      <c r="L48" s="128">
        <f>IF(K48=0,"-",12/K48)</f>
        <v>0.66666666666666663</v>
      </c>
      <c r="M48" s="111" t="s">
        <v>659</v>
      </c>
      <c r="N48" s="211"/>
      <c r="O48" s="7"/>
    </row>
    <row r="49" spans="1:15" ht="15.75" x14ac:dyDescent="0.25">
      <c r="A49" s="30"/>
      <c r="B49" s="33"/>
      <c r="C49" s="70"/>
      <c r="D49" s="69"/>
      <c r="E49" s="133" t="s">
        <v>655</v>
      </c>
      <c r="F49" s="120">
        <v>13.2</v>
      </c>
      <c r="G49" s="120">
        <v>23</v>
      </c>
      <c r="H49" s="120" t="s">
        <v>625</v>
      </c>
      <c r="I49" s="120">
        <v>4.5960000000000001</v>
      </c>
      <c r="J49" s="147"/>
      <c r="K49" s="120">
        <v>23</v>
      </c>
      <c r="L49" s="128">
        <f>IF(K49=0,"-",13.8/K49)</f>
        <v>0.6</v>
      </c>
      <c r="M49" s="111" t="s">
        <v>659</v>
      </c>
      <c r="N49" s="211"/>
      <c r="O49" s="7"/>
    </row>
    <row r="50" spans="1:15" ht="63.75" x14ac:dyDescent="0.25">
      <c r="A50" s="30"/>
      <c r="B50" s="33"/>
      <c r="C50" s="70"/>
      <c r="D50" s="69"/>
      <c r="E50" s="133" t="s">
        <v>656</v>
      </c>
      <c r="F50" s="120">
        <v>16.2</v>
      </c>
      <c r="G50" s="120">
        <v>28</v>
      </c>
      <c r="H50" s="120" t="s">
        <v>625</v>
      </c>
      <c r="I50" s="120">
        <v>6.2889999999999997</v>
      </c>
      <c r="J50" s="147">
        <f t="shared" si="0"/>
        <v>0.57857142857142851</v>
      </c>
      <c r="K50" s="120">
        <v>28</v>
      </c>
      <c r="L50" s="128">
        <f>IF(K50=0,"-",17.6/K50)</f>
        <v>0.62857142857142867</v>
      </c>
      <c r="M50" s="111" t="s">
        <v>659</v>
      </c>
      <c r="N50" s="211" t="s">
        <v>686</v>
      </c>
      <c r="O50" s="7"/>
    </row>
    <row r="51" spans="1:15" ht="15.75" x14ac:dyDescent="0.25">
      <c r="A51" s="30"/>
      <c r="B51" s="33"/>
      <c r="C51" s="70"/>
      <c r="D51" s="69"/>
      <c r="E51" s="133" t="s">
        <v>657</v>
      </c>
      <c r="F51" s="120">
        <v>16</v>
      </c>
      <c r="G51" s="120">
        <v>18</v>
      </c>
      <c r="H51" s="120" t="s">
        <v>625</v>
      </c>
      <c r="I51" s="120">
        <v>8.3699999999999992</v>
      </c>
      <c r="J51" s="147"/>
      <c r="K51" s="120">
        <v>18</v>
      </c>
      <c r="L51" s="128">
        <f>IF(K51=0,"-",15.8/K51)</f>
        <v>0.87777777777777777</v>
      </c>
      <c r="M51" s="111" t="s">
        <v>659</v>
      </c>
      <c r="N51" s="211"/>
      <c r="O51" s="7"/>
    </row>
    <row r="52" spans="1:15" ht="15.75" x14ac:dyDescent="0.25">
      <c r="A52" s="30">
        <v>28</v>
      </c>
      <c r="B52" s="33"/>
      <c r="C52" s="70"/>
      <c r="D52" s="69"/>
      <c r="E52" s="133" t="s">
        <v>658</v>
      </c>
      <c r="F52" s="120">
        <v>15.4</v>
      </c>
      <c r="G52" s="120">
        <v>23</v>
      </c>
      <c r="H52" s="120" t="s">
        <v>625</v>
      </c>
      <c r="I52" s="120">
        <v>6.4050000000000002</v>
      </c>
      <c r="J52" s="147">
        <f t="shared" si="0"/>
        <v>0.66956521739130437</v>
      </c>
      <c r="K52" s="120">
        <v>23</v>
      </c>
      <c r="L52" s="128">
        <f>IF(K52=0,"-",18.1/K52)</f>
        <v>0.78695652173913044</v>
      </c>
      <c r="M52" s="111" t="s">
        <v>659</v>
      </c>
      <c r="N52" s="211"/>
      <c r="O52" s="7"/>
    </row>
    <row r="53" spans="1:15" ht="15.75" x14ac:dyDescent="0.25">
      <c r="A53" s="30">
        <v>29</v>
      </c>
      <c r="B53" s="33"/>
      <c r="C53" s="69"/>
      <c r="D53" s="69"/>
      <c r="E53" s="68" t="s">
        <v>272</v>
      </c>
      <c r="F53" s="49"/>
      <c r="G53" s="49"/>
      <c r="H53" s="49"/>
      <c r="I53" s="49"/>
      <c r="J53" s="49"/>
      <c r="K53" s="49"/>
      <c r="L53" s="49"/>
      <c r="M53" s="49"/>
      <c r="N53" s="49"/>
      <c r="O53" s="7"/>
    </row>
    <row r="54" spans="1:15" x14ac:dyDescent="0.2">
      <c r="A54" s="9"/>
      <c r="B54" s="41"/>
      <c r="C54" s="10"/>
      <c r="D54" s="10"/>
      <c r="E54" s="10"/>
      <c r="F54" s="10"/>
      <c r="G54" s="10"/>
      <c r="H54" s="10"/>
      <c r="I54" s="10"/>
      <c r="J54" s="10"/>
      <c r="K54" s="10"/>
      <c r="L54" s="10"/>
      <c r="M54" s="10"/>
      <c r="N54" s="10"/>
      <c r="O54" s="11"/>
    </row>
  </sheetData>
  <sheetProtection formatRows="0" insertRows="0"/>
  <mergeCells count="1">
    <mergeCell ref="A5:M5"/>
  </mergeCells>
  <dataValidations count="3">
    <dataValidation allowBlank="1" showInputMessage="1" showErrorMessage="1" prompt="Please enter text." sqref="N25:N31 N9:N21 N46:N49 N51:N52 N33:N44" xr:uid="{CA2E4A72-1B54-4701-A766-948EA46D54D7}"/>
    <dataValidation allowBlank="1" showInputMessage="1" showErrorMessage="1" prompt="Please enter text" sqref="E9:E52" xr:uid="{AC930C90-8CB7-4B0E-A5E5-4B85A40CBE1A}"/>
    <dataValidation type="list" allowBlank="1" showInputMessage="1" showErrorMessage="1" prompt="Please select from available drop-down options" sqref="M9:M52" xr:uid="{781ECDA5-3A7E-4ABD-90AC-24714DDE03E1}">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21"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51"/>
  <sheetViews>
    <sheetView showGridLines="0" view="pageBreakPreview" topLeftCell="A20" zoomScale="91" zoomScaleNormal="65" zoomScaleSheetLayoutView="120" workbookViewId="0">
      <selection activeCell="Q41" sqref="Q41"/>
    </sheetView>
  </sheetViews>
  <sheetFormatPr defaultRowHeight="12.75" x14ac:dyDescent="0.2"/>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29"/>
      <c r="J2" s="31" t="s">
        <v>1</v>
      </c>
      <c r="K2" s="215" t="str">
        <f>IF(NOT(ISBLANK(CoverSheet!$C$8)),CoverSheet!$C$8,"")</f>
        <v>Aurora Energy Limited</v>
      </c>
      <c r="L2" s="215"/>
      <c r="M2" s="215"/>
      <c r="N2" s="12"/>
    </row>
    <row r="3" spans="1:14" ht="18" customHeight="1" x14ac:dyDescent="0.25">
      <c r="A3" s="20"/>
      <c r="B3" s="37"/>
      <c r="C3" s="37"/>
      <c r="D3" s="37"/>
      <c r="E3" s="37"/>
      <c r="F3" s="37"/>
      <c r="G3" s="37"/>
      <c r="H3" s="37"/>
      <c r="I3" s="29"/>
      <c r="J3" s="31" t="s">
        <v>37</v>
      </c>
      <c r="K3" s="225" t="str">
        <f>IF(ISNUMBER(CoverSheet!$C$12),TEXT(CoverSheet!$C$12,"_([$-1409]d mmmm yyyy;_(@")&amp;" –"&amp;TEXT(DATE(YEAR(CoverSheet!$C$12)+10,MONTH(CoverSheet!$C$12),DAY(CoverSheet!$C$12)-1),"_([$-1409]d mmmm yyyy;_(@"),"")</f>
        <v xml:space="preserve"> 1 April 2024 – 31 March 2034</v>
      </c>
      <c r="L3" s="225"/>
      <c r="M3" s="225"/>
      <c r="N3" s="12"/>
    </row>
    <row r="4" spans="1:14" ht="21" x14ac:dyDescent="0.35">
      <c r="A4" s="204" t="s">
        <v>599</v>
      </c>
      <c r="B4" s="40"/>
      <c r="C4" s="37"/>
      <c r="D4" s="37"/>
      <c r="E4" s="37"/>
      <c r="F4" s="37"/>
      <c r="G4" s="37"/>
      <c r="H4" s="37"/>
      <c r="I4" s="37"/>
      <c r="J4" s="38"/>
      <c r="K4" s="37"/>
      <c r="L4" s="37"/>
      <c r="M4" s="37"/>
      <c r="N4" s="12"/>
    </row>
    <row r="5" spans="1:14" s="3" customFormat="1" ht="39" customHeight="1" x14ac:dyDescent="0.2">
      <c r="A5" s="230" t="s">
        <v>273</v>
      </c>
      <c r="B5" s="231"/>
      <c r="C5" s="231"/>
      <c r="D5" s="231"/>
      <c r="E5" s="231"/>
      <c r="F5" s="231"/>
      <c r="G5" s="231"/>
      <c r="H5" s="231"/>
      <c r="I5" s="231"/>
      <c r="J5" s="231"/>
      <c r="K5" s="231"/>
      <c r="L5" s="231"/>
      <c r="M5" s="231"/>
      <c r="N5" s="32"/>
    </row>
    <row r="6" spans="1:14" ht="15" customHeight="1" x14ac:dyDescent="0.2">
      <c r="A6" s="25" t="s">
        <v>39</v>
      </c>
      <c r="B6" s="38"/>
      <c r="C6" s="38"/>
      <c r="D6" s="37"/>
      <c r="E6" s="37"/>
      <c r="F6" s="37"/>
      <c r="G6" s="37"/>
      <c r="H6" s="37"/>
      <c r="I6" s="37"/>
      <c r="J6" s="37"/>
      <c r="K6" s="37"/>
      <c r="L6" s="37"/>
      <c r="M6" s="37"/>
      <c r="N6" s="12"/>
    </row>
    <row r="7" spans="1:14" ht="29.25" customHeight="1" x14ac:dyDescent="0.3">
      <c r="A7" s="30">
        <v>7</v>
      </c>
      <c r="B7" s="33"/>
      <c r="C7" s="71" t="s">
        <v>593</v>
      </c>
      <c r="D7" s="50"/>
      <c r="E7" s="49"/>
      <c r="F7" s="49"/>
      <c r="G7" s="49"/>
      <c r="H7" s="227"/>
      <c r="I7" s="227"/>
      <c r="J7" s="227"/>
      <c r="K7" s="227"/>
      <c r="L7" s="227"/>
      <c r="M7" s="227"/>
      <c r="N7" s="8"/>
    </row>
    <row r="8" spans="1:14" ht="16.5" customHeight="1" x14ac:dyDescent="0.2">
      <c r="A8" s="30">
        <v>8</v>
      </c>
      <c r="B8" s="33"/>
      <c r="C8" s="93"/>
      <c r="D8" s="50"/>
      <c r="E8" s="85" t="s">
        <v>594</v>
      </c>
      <c r="F8" s="49"/>
      <c r="G8" s="49"/>
      <c r="H8" s="227" t="s">
        <v>274</v>
      </c>
      <c r="I8" s="227"/>
      <c r="J8" s="227"/>
      <c r="K8" s="227"/>
      <c r="L8" s="227"/>
      <c r="M8" s="227"/>
      <c r="N8" s="8"/>
    </row>
    <row r="9" spans="1:14" ht="12.75" customHeight="1" x14ac:dyDescent="0.2">
      <c r="A9" s="30">
        <v>9</v>
      </c>
      <c r="B9" s="33"/>
      <c r="C9" s="49"/>
      <c r="D9" s="49"/>
      <c r="E9" s="49"/>
      <c r="F9" s="49"/>
      <c r="G9" s="49"/>
      <c r="H9" s="21" t="s">
        <v>40</v>
      </c>
      <c r="I9" s="21" t="s">
        <v>41</v>
      </c>
      <c r="J9" s="21" t="s">
        <v>42</v>
      </c>
      <c r="K9" s="21" t="s">
        <v>43</v>
      </c>
      <c r="L9" s="21" t="s">
        <v>44</v>
      </c>
      <c r="M9" s="21" t="s">
        <v>45</v>
      </c>
      <c r="N9" s="7"/>
    </row>
    <row r="10" spans="1:14" ht="12.75" customHeight="1" x14ac:dyDescent="0.2">
      <c r="A10" s="30">
        <v>10</v>
      </c>
      <c r="B10" s="33"/>
      <c r="C10" s="52"/>
      <c r="D10" s="52"/>
      <c r="E10" s="52"/>
      <c r="F10" s="85"/>
      <c r="G10" s="143" t="str">
        <f>IF(ISNUMBER(#REF!),"for year ended","")</f>
        <v/>
      </c>
      <c r="H10" s="94" t="str">
        <f>IF(ISNUMBER(#REF!),DATE(YEAR(#REF!),MONTH(#REF!),DAY(#REF!))-1,"")</f>
        <v/>
      </c>
      <c r="I10" s="94" t="str">
        <f>IF(ISNUMBER(#REF!),DATE(YEAR(#REF!)+1,MONTH(#REF!),DAY(#REF!))-1,"")</f>
        <v/>
      </c>
      <c r="J10" s="94" t="str">
        <f>IF(ISNUMBER(#REF!),DATE(YEAR(#REF!)+2,MONTH(#REF!),DAY(#REF!))-1,"")</f>
        <v/>
      </c>
      <c r="K10" s="94" t="str">
        <f>IF(ISNUMBER(#REF!),DATE(YEAR(#REF!)+3,MONTH(#REF!),DAY(#REF!))-1,"")</f>
        <v/>
      </c>
      <c r="L10" s="94" t="str">
        <f>IF(ISNUMBER(#REF!),DATE(YEAR(#REF!)+4,MONTH(#REF!),DAY(#REF!))-1,"")</f>
        <v/>
      </c>
      <c r="M10" s="94" t="str">
        <f>IF(ISNUMBER(#REF!),DATE(YEAR(#REF!)+5,MONTH(#REF!),DAY(#REF!))-1,"")</f>
        <v/>
      </c>
      <c r="N10" s="8"/>
    </row>
    <row r="11" spans="1:14" ht="17.25" customHeight="1" x14ac:dyDescent="0.2">
      <c r="A11" s="30">
        <v>11</v>
      </c>
      <c r="B11" s="33"/>
      <c r="C11" s="52"/>
      <c r="D11" s="52"/>
      <c r="E11" s="52"/>
      <c r="F11" s="85" t="s">
        <v>93</v>
      </c>
      <c r="G11" s="82"/>
      <c r="H11" s="44"/>
      <c r="I11" s="94"/>
      <c r="J11" s="94"/>
      <c r="K11" s="94"/>
      <c r="L11" s="94"/>
      <c r="M11" s="94"/>
      <c r="N11" s="8"/>
    </row>
    <row r="12" spans="1:14" ht="15" customHeight="1" x14ac:dyDescent="0.2">
      <c r="A12" s="30">
        <v>12</v>
      </c>
      <c r="B12" s="33"/>
      <c r="C12" s="219"/>
      <c r="D12" s="219"/>
      <c r="E12" s="52"/>
      <c r="F12" s="133" t="s">
        <v>687</v>
      </c>
      <c r="G12" s="46"/>
      <c r="H12" s="120">
        <v>892</v>
      </c>
      <c r="I12" s="120">
        <v>1134</v>
      </c>
      <c r="J12" s="120">
        <v>1150</v>
      </c>
      <c r="K12" s="120">
        <v>1166</v>
      </c>
      <c r="L12" s="120">
        <v>1182</v>
      </c>
      <c r="M12" s="120">
        <v>1199</v>
      </c>
      <c r="N12" s="8"/>
    </row>
    <row r="13" spans="1:14" ht="15" customHeight="1" x14ac:dyDescent="0.2">
      <c r="A13" s="30">
        <v>13</v>
      </c>
      <c r="B13" s="33"/>
      <c r="C13" s="219"/>
      <c r="D13" s="219"/>
      <c r="E13" s="52"/>
      <c r="F13" s="133" t="s">
        <v>688</v>
      </c>
      <c r="G13" s="49"/>
      <c r="H13" s="120">
        <v>1</v>
      </c>
      <c r="I13" s="120">
        <v>4</v>
      </c>
      <c r="J13" s="120">
        <v>5</v>
      </c>
      <c r="K13" s="120">
        <v>6</v>
      </c>
      <c r="L13" s="120">
        <v>6</v>
      </c>
      <c r="M13" s="120">
        <v>6</v>
      </c>
      <c r="N13" s="8"/>
    </row>
    <row r="14" spans="1:14" ht="15" customHeight="1" x14ac:dyDescent="0.2">
      <c r="A14" s="30">
        <v>14</v>
      </c>
      <c r="B14" s="33"/>
      <c r="C14" s="219"/>
      <c r="D14" s="219"/>
      <c r="E14" s="52"/>
      <c r="F14" s="133" t="s">
        <v>689</v>
      </c>
      <c r="G14" s="49"/>
      <c r="H14" s="120">
        <v>-75</v>
      </c>
      <c r="I14" s="120">
        <v>0</v>
      </c>
      <c r="J14" s="120">
        <v>8</v>
      </c>
      <c r="K14" s="120">
        <v>12</v>
      </c>
      <c r="L14" s="120">
        <v>14</v>
      </c>
      <c r="M14" s="120">
        <v>15</v>
      </c>
      <c r="N14" s="8"/>
    </row>
    <row r="15" spans="1:14" ht="15" customHeight="1" x14ac:dyDescent="0.2">
      <c r="A15" s="30">
        <v>15</v>
      </c>
      <c r="B15" s="33"/>
      <c r="C15" s="219"/>
      <c r="D15" s="219"/>
      <c r="E15" s="52"/>
      <c r="F15" s="133" t="s">
        <v>690</v>
      </c>
      <c r="G15" s="49"/>
      <c r="H15" s="120">
        <v>18</v>
      </c>
      <c r="I15" s="120">
        <v>17</v>
      </c>
      <c r="J15" s="120">
        <v>17</v>
      </c>
      <c r="K15" s="120">
        <v>17</v>
      </c>
      <c r="L15" s="120">
        <v>17</v>
      </c>
      <c r="M15" s="120">
        <v>17</v>
      </c>
      <c r="N15" s="8"/>
    </row>
    <row r="16" spans="1:14" ht="15" customHeight="1" x14ac:dyDescent="0.2">
      <c r="A16" s="30"/>
      <c r="B16" s="33"/>
      <c r="C16" s="52"/>
      <c r="D16" s="52"/>
      <c r="E16" s="52"/>
      <c r="F16" s="133" t="s">
        <v>691</v>
      </c>
      <c r="G16" s="49"/>
      <c r="H16" s="120">
        <v>40</v>
      </c>
      <c r="I16" s="120">
        <v>67</v>
      </c>
      <c r="J16" s="120">
        <v>80</v>
      </c>
      <c r="K16" s="120">
        <v>87</v>
      </c>
      <c r="L16" s="120">
        <v>90</v>
      </c>
      <c r="M16" s="120">
        <v>92</v>
      </c>
      <c r="N16" s="8"/>
    </row>
    <row r="17" spans="1:14" ht="15" customHeight="1" x14ac:dyDescent="0.2">
      <c r="A17" s="30"/>
      <c r="B17" s="33"/>
      <c r="C17" s="52"/>
      <c r="D17" s="52"/>
      <c r="E17" s="52"/>
      <c r="F17" s="133" t="s">
        <v>692</v>
      </c>
      <c r="G17" s="49"/>
      <c r="H17" s="120">
        <v>141</v>
      </c>
      <c r="I17" s="120">
        <v>135</v>
      </c>
      <c r="J17" s="120">
        <v>132</v>
      </c>
      <c r="K17" s="120">
        <v>131</v>
      </c>
      <c r="L17" s="120">
        <v>130</v>
      </c>
      <c r="M17" s="120">
        <v>130</v>
      </c>
      <c r="N17" s="8"/>
    </row>
    <row r="18" spans="1:14" ht="15" customHeight="1" x14ac:dyDescent="0.2">
      <c r="A18" s="30"/>
      <c r="B18" s="33"/>
      <c r="C18" s="52"/>
      <c r="D18" s="52"/>
      <c r="E18" s="52"/>
      <c r="F18" s="133" t="s">
        <v>693</v>
      </c>
      <c r="G18" s="49"/>
      <c r="H18" s="120">
        <v>4</v>
      </c>
      <c r="I18" s="120">
        <v>4</v>
      </c>
      <c r="J18" s="120">
        <v>4</v>
      </c>
      <c r="K18" s="120">
        <v>4</v>
      </c>
      <c r="L18" s="120">
        <v>4</v>
      </c>
      <c r="M18" s="120">
        <v>4</v>
      </c>
      <c r="N18" s="8"/>
    </row>
    <row r="19" spans="1:14" ht="15" customHeight="1" x14ac:dyDescent="0.2">
      <c r="A19" s="30"/>
      <c r="B19" s="33"/>
      <c r="C19" s="52"/>
      <c r="D19" s="52"/>
      <c r="E19" s="52"/>
      <c r="F19" s="133" t="s">
        <v>694</v>
      </c>
      <c r="G19" s="49"/>
      <c r="H19" s="120">
        <v>11</v>
      </c>
      <c r="I19" s="120">
        <v>7</v>
      </c>
      <c r="J19" s="120">
        <v>5</v>
      </c>
      <c r="K19" s="120">
        <v>4</v>
      </c>
      <c r="L19" s="120">
        <v>4</v>
      </c>
      <c r="M19" s="120">
        <v>4</v>
      </c>
      <c r="N19" s="8"/>
    </row>
    <row r="20" spans="1:14" ht="15" customHeight="1" x14ac:dyDescent="0.2">
      <c r="A20" s="30"/>
      <c r="B20" s="33"/>
      <c r="C20" s="52"/>
      <c r="D20" s="52"/>
      <c r="E20" s="52"/>
      <c r="F20" s="133" t="s">
        <v>695</v>
      </c>
      <c r="G20" s="49"/>
      <c r="H20" s="120">
        <v>2</v>
      </c>
      <c r="I20" s="120">
        <v>3</v>
      </c>
      <c r="J20" s="120">
        <v>3</v>
      </c>
      <c r="K20" s="120">
        <v>3</v>
      </c>
      <c r="L20" s="120">
        <v>3</v>
      </c>
      <c r="M20" s="120">
        <v>3</v>
      </c>
      <c r="N20" s="8"/>
    </row>
    <row r="21" spans="1:14" ht="15" customHeight="1" x14ac:dyDescent="0.2">
      <c r="A21" s="30"/>
      <c r="B21" s="33"/>
      <c r="C21" s="52"/>
      <c r="D21" s="52"/>
      <c r="E21" s="52"/>
      <c r="F21" s="133" t="s">
        <v>696</v>
      </c>
      <c r="G21" s="49"/>
      <c r="H21" s="120">
        <v>0</v>
      </c>
      <c r="I21" s="120">
        <v>0</v>
      </c>
      <c r="J21" s="120">
        <v>0</v>
      </c>
      <c r="K21" s="120">
        <v>0</v>
      </c>
      <c r="L21" s="120">
        <v>0</v>
      </c>
      <c r="M21" s="120">
        <v>0</v>
      </c>
      <c r="N21" s="8"/>
    </row>
    <row r="22" spans="1:14" ht="15" customHeight="1" thickBot="1" x14ac:dyDescent="0.25">
      <c r="A22" s="30">
        <v>16</v>
      </c>
      <c r="B22" s="33"/>
      <c r="C22" s="219"/>
      <c r="D22" s="219"/>
      <c r="E22" s="52"/>
      <c r="F22" s="133" t="s">
        <v>697</v>
      </c>
      <c r="G22" s="49"/>
      <c r="H22" s="120">
        <v>0</v>
      </c>
      <c r="I22" s="120">
        <v>0</v>
      </c>
      <c r="J22" s="120">
        <v>0</v>
      </c>
      <c r="K22" s="120">
        <v>0</v>
      </c>
      <c r="L22" s="120">
        <v>0</v>
      </c>
      <c r="M22" s="120">
        <v>0</v>
      </c>
      <c r="N22" s="8"/>
    </row>
    <row r="23" spans="1:14" ht="15" customHeight="1" thickBot="1" x14ac:dyDescent="0.25">
      <c r="A23" s="30">
        <v>17</v>
      </c>
      <c r="B23" s="33"/>
      <c r="C23" s="52"/>
      <c r="D23" s="52"/>
      <c r="E23" s="78" t="s">
        <v>275</v>
      </c>
      <c r="F23" s="119"/>
      <c r="G23" s="49"/>
      <c r="H23" s="121">
        <f t="shared" ref="H23:M23" si="0">SUM(H12:H22)</f>
        <v>1034</v>
      </c>
      <c r="I23" s="121">
        <f t="shared" si="0"/>
        <v>1371</v>
      </c>
      <c r="J23" s="121">
        <f t="shared" si="0"/>
        <v>1404</v>
      </c>
      <c r="K23" s="121">
        <f t="shared" si="0"/>
        <v>1430</v>
      </c>
      <c r="L23" s="121">
        <f t="shared" si="0"/>
        <v>1450</v>
      </c>
      <c r="M23" s="121">
        <f t="shared" si="0"/>
        <v>1470</v>
      </c>
      <c r="N23" s="8"/>
    </row>
    <row r="24" spans="1:14" x14ac:dyDescent="0.2">
      <c r="A24" s="30">
        <v>18</v>
      </c>
      <c r="B24" s="33"/>
      <c r="C24" s="52"/>
      <c r="D24" s="52"/>
      <c r="E24" s="52"/>
      <c r="F24" s="68" t="s">
        <v>95</v>
      </c>
      <c r="G24" s="49"/>
      <c r="H24" s="50"/>
      <c r="I24" s="50"/>
      <c r="J24" s="49"/>
      <c r="K24" s="50"/>
      <c r="L24" s="50"/>
      <c r="M24" s="50"/>
      <c r="N24" s="8"/>
    </row>
    <row r="25" spans="1:14" x14ac:dyDescent="0.2">
      <c r="A25" s="30">
        <v>19</v>
      </c>
      <c r="B25" s="33"/>
      <c r="C25" s="52"/>
      <c r="D25" s="52"/>
      <c r="E25" s="52"/>
      <c r="F25" s="68"/>
      <c r="G25" s="49"/>
      <c r="H25" s="50"/>
      <c r="I25" s="50"/>
      <c r="J25" s="49"/>
      <c r="K25" s="50"/>
      <c r="L25" s="50"/>
      <c r="M25" s="50"/>
      <c r="N25" s="8"/>
    </row>
    <row r="26" spans="1:14" x14ac:dyDescent="0.2">
      <c r="A26" s="30">
        <v>20</v>
      </c>
      <c r="B26" s="33"/>
      <c r="C26" s="52"/>
      <c r="D26" s="52"/>
      <c r="E26" s="52"/>
      <c r="F26" s="68"/>
      <c r="G26" s="49"/>
      <c r="H26" s="50"/>
      <c r="I26" s="50"/>
      <c r="J26" s="49"/>
      <c r="K26" s="50"/>
      <c r="L26" s="50"/>
      <c r="M26" s="50"/>
      <c r="N26" s="8"/>
    </row>
    <row r="27" spans="1:14" ht="12.75" customHeight="1" x14ac:dyDescent="0.2">
      <c r="A27" s="30">
        <v>21</v>
      </c>
      <c r="B27" s="33"/>
      <c r="C27" s="52"/>
      <c r="D27" s="52"/>
      <c r="E27" s="52"/>
      <c r="F27" s="68"/>
      <c r="G27" s="49"/>
      <c r="H27" s="50"/>
      <c r="I27" s="50"/>
      <c r="J27" s="49"/>
      <c r="K27" s="50"/>
      <c r="L27" s="50"/>
      <c r="M27" s="50"/>
      <c r="N27" s="8"/>
    </row>
    <row r="28" spans="1:14" ht="15.75" x14ac:dyDescent="0.25">
      <c r="A28" s="30">
        <v>22</v>
      </c>
      <c r="B28" s="33"/>
      <c r="C28" s="52"/>
      <c r="D28" s="76" t="s">
        <v>276</v>
      </c>
      <c r="E28" s="52"/>
      <c r="F28" s="52"/>
      <c r="G28" s="49"/>
      <c r="H28" s="21" t="s">
        <v>40</v>
      </c>
      <c r="I28" s="21" t="s">
        <v>41</v>
      </c>
      <c r="J28" s="21" t="s">
        <v>42</v>
      </c>
      <c r="K28" s="21" t="s">
        <v>43</v>
      </c>
      <c r="L28" s="21" t="s">
        <v>44</v>
      </c>
      <c r="M28" s="21" t="s">
        <v>45</v>
      </c>
      <c r="N28" s="8"/>
    </row>
    <row r="29" spans="1:14" ht="15" customHeight="1" x14ac:dyDescent="0.2">
      <c r="A29" s="30">
        <v>23</v>
      </c>
      <c r="B29" s="33"/>
      <c r="C29" s="52"/>
      <c r="D29" s="52"/>
      <c r="E29" s="52"/>
      <c r="F29" s="52" t="s">
        <v>277</v>
      </c>
      <c r="G29" s="49"/>
      <c r="H29" s="120">
        <v>656.57142857142856</v>
      </c>
      <c r="I29" s="120">
        <v>668.54821428571427</v>
      </c>
      <c r="J29" s="120">
        <v>680.52499999999998</v>
      </c>
      <c r="K29" s="120">
        <v>680.52499999999998</v>
      </c>
      <c r="L29" s="120">
        <v>680.52499999999998</v>
      </c>
      <c r="M29" s="120">
        <v>680.52499999999998</v>
      </c>
      <c r="N29" s="8"/>
    </row>
    <row r="30" spans="1:14" ht="15" customHeight="1" x14ac:dyDescent="0.2">
      <c r="A30" s="30">
        <v>24</v>
      </c>
      <c r="B30" s="33"/>
      <c r="C30" s="52"/>
      <c r="D30" s="52"/>
      <c r="E30" s="52"/>
      <c r="F30" s="52" t="s">
        <v>278</v>
      </c>
      <c r="G30" s="49"/>
      <c r="H30" s="120">
        <v>5.8556228571428663</v>
      </c>
      <c r="I30" s="120">
        <v>3.4</v>
      </c>
      <c r="J30" s="120">
        <v>3.4</v>
      </c>
      <c r="K30" s="120">
        <v>3.4</v>
      </c>
      <c r="L30" s="120">
        <v>3.4</v>
      </c>
      <c r="M30" s="120">
        <v>3.4</v>
      </c>
      <c r="N30" s="8"/>
    </row>
    <row r="31" spans="1:14" ht="29.25" customHeight="1" x14ac:dyDescent="0.3">
      <c r="A31" s="30">
        <v>25</v>
      </c>
      <c r="B31" s="33"/>
      <c r="C31" s="71" t="s">
        <v>279</v>
      </c>
      <c r="D31" s="50"/>
      <c r="E31" s="49"/>
      <c r="F31" s="49"/>
      <c r="G31" s="49"/>
      <c r="H31" s="227"/>
      <c r="I31" s="227"/>
      <c r="J31" s="227"/>
      <c r="K31" s="227"/>
      <c r="L31" s="227"/>
      <c r="M31" s="227"/>
      <c r="N31" s="8"/>
    </row>
    <row r="32" spans="1:14" ht="12.75" customHeight="1" x14ac:dyDescent="0.2">
      <c r="A32" s="30">
        <v>26</v>
      </c>
      <c r="B32" s="33"/>
      <c r="C32" s="52"/>
      <c r="D32" s="52"/>
      <c r="E32" s="52"/>
      <c r="F32" s="85"/>
      <c r="G32" s="49"/>
      <c r="H32" s="21" t="s">
        <v>40</v>
      </c>
      <c r="I32" s="21" t="s">
        <v>41</v>
      </c>
      <c r="J32" s="21" t="s">
        <v>42</v>
      </c>
      <c r="K32" s="21" t="s">
        <v>43</v>
      </c>
      <c r="L32" s="21" t="s">
        <v>44</v>
      </c>
      <c r="M32" s="21" t="s">
        <v>45</v>
      </c>
      <c r="N32" s="8"/>
    </row>
    <row r="33" spans="1:14" ht="15.75" x14ac:dyDescent="0.25">
      <c r="A33" s="30">
        <v>27</v>
      </c>
      <c r="B33" s="33"/>
      <c r="C33" s="52"/>
      <c r="D33" s="76" t="s">
        <v>280</v>
      </c>
      <c r="E33" s="52"/>
      <c r="F33" s="52"/>
      <c r="G33" s="143" t="str">
        <f>IF(ISNUMBER(#REF!),"for year ended","")</f>
        <v/>
      </c>
      <c r="H33" s="94" t="str">
        <f>IF(ISNUMBER(#REF!),DATE(YEAR(#REF!),MONTH(#REF!),DAY(#REF!))-1,"")</f>
        <v/>
      </c>
      <c r="I33" s="94" t="str">
        <f>IF(ISNUMBER(#REF!),DATE(YEAR(#REF!)+1,MONTH(#REF!),DAY(#REF!))-1,"")</f>
        <v/>
      </c>
      <c r="J33" s="94" t="str">
        <f>IF(ISNUMBER(#REF!),DATE(YEAR(#REF!)+2,MONTH(#REF!),DAY(#REF!))-1,"")</f>
        <v/>
      </c>
      <c r="K33" s="94" t="str">
        <f>IF(ISNUMBER(#REF!),DATE(YEAR(#REF!)+3,MONTH(#REF!),DAY(#REF!))-1,"")</f>
        <v/>
      </c>
      <c r="L33" s="94" t="str">
        <f>IF(ISNUMBER(#REF!),DATE(YEAR(#REF!)+4,MONTH(#REF!),DAY(#REF!))-1,"")</f>
        <v/>
      </c>
      <c r="M33" s="94" t="str">
        <f>IF(ISNUMBER(#REF!),DATE(YEAR(#REF!)+5,MONTH(#REF!),DAY(#REF!))-1,"")</f>
        <v/>
      </c>
      <c r="N33" s="7"/>
    </row>
    <row r="34" spans="1:14" ht="15" customHeight="1" x14ac:dyDescent="0.2">
      <c r="A34" s="30">
        <v>28</v>
      </c>
      <c r="B34" s="33"/>
      <c r="C34" s="52"/>
      <c r="D34" s="52"/>
      <c r="E34" s="52"/>
      <c r="F34" s="52" t="s">
        <v>281</v>
      </c>
      <c r="G34" s="46"/>
      <c r="H34" s="120">
        <v>267.3</v>
      </c>
      <c r="I34" s="120">
        <v>274.5</v>
      </c>
      <c r="J34" s="120">
        <v>290.3</v>
      </c>
      <c r="K34" s="120">
        <v>301.8</v>
      </c>
      <c r="L34" s="120">
        <v>310.2</v>
      </c>
      <c r="M34" s="120">
        <v>320.3</v>
      </c>
      <c r="N34" s="7"/>
    </row>
    <row r="35" spans="1:14" ht="15" customHeight="1" thickBot="1" x14ac:dyDescent="0.25">
      <c r="A35" s="30">
        <v>29</v>
      </c>
      <c r="B35" s="33"/>
      <c r="C35" s="52"/>
      <c r="D35" s="80" t="s">
        <v>65</v>
      </c>
      <c r="E35" s="52"/>
      <c r="F35" s="52" t="s">
        <v>282</v>
      </c>
      <c r="G35" s="49"/>
      <c r="H35" s="120">
        <v>57.2</v>
      </c>
      <c r="I35" s="120">
        <v>57</v>
      </c>
      <c r="J35" s="120">
        <v>57</v>
      </c>
      <c r="K35" s="120">
        <v>58</v>
      </c>
      <c r="L35" s="120">
        <v>58</v>
      </c>
      <c r="M35" s="120">
        <v>59</v>
      </c>
      <c r="N35" s="7"/>
    </row>
    <row r="36" spans="1:14" ht="15" customHeight="1" thickBot="1" x14ac:dyDescent="0.25">
      <c r="A36" s="30">
        <v>30</v>
      </c>
      <c r="B36" s="33"/>
      <c r="C36" s="52"/>
      <c r="D36" s="80"/>
      <c r="E36" s="45" t="s">
        <v>283</v>
      </c>
      <c r="F36" s="52"/>
      <c r="G36" s="49"/>
      <c r="H36" s="121">
        <f t="shared" ref="H36:M36" si="1">H34+H35</f>
        <v>324.5</v>
      </c>
      <c r="I36" s="121">
        <f t="shared" si="1"/>
        <v>331.5</v>
      </c>
      <c r="J36" s="121">
        <f t="shared" si="1"/>
        <v>347.3</v>
      </c>
      <c r="K36" s="121">
        <f t="shared" si="1"/>
        <v>359.8</v>
      </c>
      <c r="L36" s="121">
        <f t="shared" si="1"/>
        <v>368.2</v>
      </c>
      <c r="M36" s="121">
        <f t="shared" si="1"/>
        <v>379.3</v>
      </c>
      <c r="N36" s="7"/>
    </row>
    <row r="37" spans="1:14" ht="15" customHeight="1" thickBot="1" x14ac:dyDescent="0.25">
      <c r="A37" s="30">
        <v>31</v>
      </c>
      <c r="B37" s="33"/>
      <c r="C37" s="52"/>
      <c r="D37" s="80" t="s">
        <v>67</v>
      </c>
      <c r="E37" s="52"/>
      <c r="F37" s="52" t="s">
        <v>284</v>
      </c>
      <c r="G37" s="49"/>
      <c r="H37" s="120">
        <v>0.57617384134651195</v>
      </c>
      <c r="I37" s="120">
        <v>0.59746651690302266</v>
      </c>
      <c r="J37" s="120">
        <v>0.61954606961330227</v>
      </c>
      <c r="K37" s="120">
        <v>0.64244157875644281</v>
      </c>
      <c r="L37" s="120">
        <v>0.66618319824493799</v>
      </c>
      <c r="M37" s="120">
        <v>0.69080219633808004</v>
      </c>
      <c r="N37" s="7"/>
    </row>
    <row r="38" spans="1:14" ht="15" customHeight="1" thickBot="1" x14ac:dyDescent="0.25">
      <c r="A38" s="30">
        <v>32</v>
      </c>
      <c r="B38" s="33"/>
      <c r="C38" s="52"/>
      <c r="D38" s="52"/>
      <c r="E38" s="45" t="s">
        <v>285</v>
      </c>
      <c r="F38" s="52"/>
      <c r="G38" s="49"/>
      <c r="H38" s="121">
        <f t="shared" ref="H38:M38" si="2">H36-H37</f>
        <v>323.92382615865347</v>
      </c>
      <c r="I38" s="121">
        <f t="shared" si="2"/>
        <v>330.90253348309699</v>
      </c>
      <c r="J38" s="121">
        <f t="shared" si="2"/>
        <v>346.6804539303867</v>
      </c>
      <c r="K38" s="121">
        <f t="shared" si="2"/>
        <v>359.15755842124355</v>
      </c>
      <c r="L38" s="121">
        <f t="shared" si="2"/>
        <v>367.53381680175505</v>
      </c>
      <c r="M38" s="121">
        <f t="shared" si="2"/>
        <v>378.60919780366191</v>
      </c>
      <c r="N38" s="7"/>
    </row>
    <row r="39" spans="1:14" ht="30" customHeight="1" x14ac:dyDescent="0.25">
      <c r="A39" s="30">
        <v>33</v>
      </c>
      <c r="B39" s="33"/>
      <c r="C39" s="52"/>
      <c r="D39" s="76" t="s">
        <v>286</v>
      </c>
      <c r="E39" s="52"/>
      <c r="F39" s="52"/>
      <c r="G39" s="49"/>
      <c r="H39" s="49"/>
      <c r="I39" s="49"/>
      <c r="J39" s="49"/>
      <c r="K39" s="49"/>
      <c r="L39" s="49"/>
      <c r="M39" s="49"/>
      <c r="N39" s="7"/>
    </row>
    <row r="40" spans="1:14" ht="15" customHeight="1" x14ac:dyDescent="0.2">
      <c r="A40" s="30">
        <v>34</v>
      </c>
      <c r="B40" s="33"/>
      <c r="C40" s="52"/>
      <c r="D40" s="52"/>
      <c r="E40" s="52"/>
      <c r="F40" s="52" t="s">
        <v>287</v>
      </c>
      <c r="G40" s="49"/>
      <c r="H40" s="120">
        <v>1181.7180048544415</v>
      </c>
      <c r="I40" s="120">
        <v>1188.3623783384173</v>
      </c>
      <c r="J40" s="120">
        <v>1197.0375662715392</v>
      </c>
      <c r="K40" s="120">
        <v>1207.8186180053704</v>
      </c>
      <c r="L40" s="120">
        <v>1220.7833563625682</v>
      </c>
      <c r="M40" s="120">
        <v>1236.0124801313314</v>
      </c>
      <c r="N40" s="7"/>
    </row>
    <row r="41" spans="1:14" ht="15" customHeight="1" x14ac:dyDescent="0.2">
      <c r="A41" s="30">
        <v>35</v>
      </c>
      <c r="B41" s="33"/>
      <c r="C41" s="52"/>
      <c r="D41" s="80" t="s">
        <v>67</v>
      </c>
      <c r="E41" s="52"/>
      <c r="F41" s="52" t="s">
        <v>288</v>
      </c>
      <c r="G41" s="49"/>
      <c r="H41" s="120">
        <v>41.2466285</v>
      </c>
      <c r="I41" s="120">
        <v>41.2466285</v>
      </c>
      <c r="J41" s="120">
        <v>41.2466285</v>
      </c>
      <c r="K41" s="120">
        <v>41.2466285</v>
      </c>
      <c r="L41" s="120">
        <v>41.2466285</v>
      </c>
      <c r="M41" s="120">
        <v>41.2466285</v>
      </c>
      <c r="N41" s="7"/>
    </row>
    <row r="42" spans="1:14" ht="15" customHeight="1" x14ac:dyDescent="0.2">
      <c r="A42" s="30">
        <v>36</v>
      </c>
      <c r="B42" s="33"/>
      <c r="C42" s="52"/>
      <c r="D42" s="80" t="s">
        <v>65</v>
      </c>
      <c r="E42" s="52"/>
      <c r="F42" s="52" t="s">
        <v>289</v>
      </c>
      <c r="G42" s="49"/>
      <c r="H42" s="120">
        <v>348.99665593435702</v>
      </c>
      <c r="I42" s="120">
        <v>397.30555307721409</v>
      </c>
      <c r="J42" s="120">
        <v>445.61445022007115</v>
      </c>
      <c r="K42" s="120">
        <v>493.92334736292821</v>
      </c>
      <c r="L42" s="120">
        <v>542.23224450578527</v>
      </c>
      <c r="M42" s="120">
        <v>590.54114164864234</v>
      </c>
      <c r="N42" s="7"/>
    </row>
    <row r="43" spans="1:14" ht="15" customHeight="1" thickBot="1" x14ac:dyDescent="0.25">
      <c r="A43" s="30">
        <v>37</v>
      </c>
      <c r="B43" s="33"/>
      <c r="C43" s="52"/>
      <c r="D43" s="80" t="s">
        <v>67</v>
      </c>
      <c r="E43" s="52"/>
      <c r="F43" s="52" t="s">
        <v>290</v>
      </c>
      <c r="G43" s="49"/>
      <c r="H43" s="120">
        <v>2.4479089800000002</v>
      </c>
      <c r="I43" s="120">
        <v>2.4479089800000002</v>
      </c>
      <c r="J43" s="120">
        <v>2.4479089800000002</v>
      </c>
      <c r="K43" s="120">
        <v>2.4479089800000002</v>
      </c>
      <c r="L43" s="120">
        <v>2.4479089800000002</v>
      </c>
      <c r="M43" s="120">
        <v>2.4479089800000002</v>
      </c>
      <c r="N43" s="7"/>
    </row>
    <row r="44" spans="1:14" ht="15" customHeight="1" thickBot="1" x14ac:dyDescent="0.25">
      <c r="A44" s="30">
        <v>38</v>
      </c>
      <c r="B44" s="33"/>
      <c r="C44" s="52"/>
      <c r="D44" s="52"/>
      <c r="E44" s="45" t="s">
        <v>291</v>
      </c>
      <c r="F44" s="52"/>
      <c r="G44" s="49"/>
      <c r="H44" s="121">
        <f t="shared" ref="H44:M44" si="3">H40-H41+H42-H43</f>
        <v>1487.0201233087985</v>
      </c>
      <c r="I44" s="121">
        <f t="shared" si="3"/>
        <v>1541.9733939356313</v>
      </c>
      <c r="J44" s="121">
        <f t="shared" si="3"/>
        <v>1598.9574790116103</v>
      </c>
      <c r="K44" s="121">
        <f t="shared" si="3"/>
        <v>1658.0474278882987</v>
      </c>
      <c r="L44" s="121">
        <f t="shared" si="3"/>
        <v>1719.3210633883534</v>
      </c>
      <c r="M44" s="121">
        <f t="shared" si="3"/>
        <v>1782.8590842999736</v>
      </c>
      <c r="N44" s="7"/>
    </row>
    <row r="45" spans="1:14" ht="15" customHeight="1" thickBot="1" x14ac:dyDescent="0.25">
      <c r="A45" s="30">
        <v>39</v>
      </c>
      <c r="B45" s="33"/>
      <c r="C45" s="52"/>
      <c r="D45" s="80" t="s">
        <v>67</v>
      </c>
      <c r="E45" s="52"/>
      <c r="F45" s="52" t="s">
        <v>292</v>
      </c>
      <c r="G45" s="49"/>
      <c r="H45" s="120">
        <v>1405.4249817099474</v>
      </c>
      <c r="I45" s="120">
        <v>1457.3628796274056</v>
      </c>
      <c r="J45" s="120">
        <v>1511.22015799931</v>
      </c>
      <c r="K45" s="120">
        <v>1567.0677481008299</v>
      </c>
      <c r="L45" s="120">
        <v>1624.9792024934909</v>
      </c>
      <c r="M45" s="120">
        <v>1685.0307918955909</v>
      </c>
      <c r="N45" s="7"/>
    </row>
    <row r="46" spans="1:14" ht="15" customHeight="1" thickBot="1" x14ac:dyDescent="0.25">
      <c r="A46" s="30">
        <v>40</v>
      </c>
      <c r="B46" s="33"/>
      <c r="C46" s="52"/>
      <c r="D46" s="52"/>
      <c r="E46" s="45" t="s">
        <v>293</v>
      </c>
      <c r="F46" s="52"/>
      <c r="G46" s="49"/>
      <c r="H46" s="121">
        <f t="shared" ref="H46:M46" si="4">H44-H45</f>
        <v>81.595141598851114</v>
      </c>
      <c r="I46" s="121">
        <f t="shared" si="4"/>
        <v>84.610514308225675</v>
      </c>
      <c r="J46" s="121">
        <f t="shared" si="4"/>
        <v>87.737321012300299</v>
      </c>
      <c r="K46" s="121">
        <f t="shared" si="4"/>
        <v>90.97967978746874</v>
      </c>
      <c r="L46" s="121">
        <f t="shared" si="4"/>
        <v>94.341860894862521</v>
      </c>
      <c r="M46" s="121">
        <f t="shared" si="4"/>
        <v>97.828292404382637</v>
      </c>
      <c r="N46" s="7"/>
    </row>
    <row r="47" spans="1:14" ht="12.75" customHeight="1" thickBot="1" x14ac:dyDescent="0.25">
      <c r="A47" s="30">
        <v>41</v>
      </c>
      <c r="B47" s="33"/>
      <c r="C47" s="52"/>
      <c r="D47" s="52"/>
      <c r="E47" s="52"/>
      <c r="F47" s="52"/>
      <c r="G47" s="49"/>
      <c r="H47" s="49"/>
      <c r="I47" s="49"/>
      <c r="J47" s="49"/>
      <c r="K47" s="49"/>
      <c r="L47" s="49"/>
      <c r="M47" s="49"/>
      <c r="N47" s="7"/>
    </row>
    <row r="48" spans="1:14" ht="15" customHeight="1" thickBot="1" x14ac:dyDescent="0.25">
      <c r="A48" s="30">
        <v>42</v>
      </c>
      <c r="B48" s="33"/>
      <c r="C48" s="52"/>
      <c r="D48" s="52"/>
      <c r="E48" s="45" t="s">
        <v>294</v>
      </c>
      <c r="F48" s="52"/>
      <c r="G48" s="49"/>
      <c r="H48" s="129">
        <f t="shared" ref="H48:M48" si="5">IF(H38&lt;&gt;0,H44/(H38*8760)*1000,0)</f>
        <v>0.5240465255115766</v>
      </c>
      <c r="I48" s="129">
        <f t="shared" si="5"/>
        <v>0.53195228874639511</v>
      </c>
      <c r="J48" s="129">
        <f t="shared" si="5"/>
        <v>0.52650615433279047</v>
      </c>
      <c r="K48" s="129">
        <f t="shared" si="5"/>
        <v>0.52699662334044484</v>
      </c>
      <c r="L48" s="129">
        <f t="shared" si="5"/>
        <v>0.53401760276640042</v>
      </c>
      <c r="M48" s="129">
        <f t="shared" si="5"/>
        <v>0.53755357159549</v>
      </c>
      <c r="N48" s="7"/>
    </row>
    <row r="49" spans="1:19" ht="15" customHeight="1" thickBot="1" x14ac:dyDescent="0.25">
      <c r="A49" s="30">
        <v>43</v>
      </c>
      <c r="B49" s="33"/>
      <c r="C49" s="52"/>
      <c r="D49" s="52"/>
      <c r="E49" s="45" t="s">
        <v>295</v>
      </c>
      <c r="F49" s="52"/>
      <c r="G49" s="49"/>
      <c r="H49" s="130">
        <f t="shared" ref="H49:M49" si="6">IF(H44=0,"-",H46/H44)</f>
        <v>5.4871578615420566E-2</v>
      </c>
      <c r="I49" s="130">
        <f t="shared" si="6"/>
        <v>5.4871578615420448E-2</v>
      </c>
      <c r="J49" s="130">
        <f t="shared" si="6"/>
        <v>5.4871578615420594E-2</v>
      </c>
      <c r="K49" s="130">
        <f t="shared" si="6"/>
        <v>5.4871578615420621E-2</v>
      </c>
      <c r="L49" s="130">
        <f t="shared" si="6"/>
        <v>5.4871578615420566E-2</v>
      </c>
      <c r="M49" s="130">
        <f t="shared" si="6"/>
        <v>5.4871578615420517E-2</v>
      </c>
      <c r="N49" s="7"/>
    </row>
    <row r="50" spans="1:19" x14ac:dyDescent="0.2">
      <c r="A50" s="30">
        <v>44</v>
      </c>
      <c r="B50" s="185"/>
      <c r="C50" s="185"/>
      <c r="D50" s="185"/>
      <c r="E50" s="185"/>
      <c r="F50" s="185"/>
      <c r="G50" s="185"/>
      <c r="H50" s="185"/>
      <c r="I50" s="185"/>
      <c r="J50" s="185"/>
      <c r="K50" s="185"/>
      <c r="L50" s="185"/>
      <c r="M50" s="185"/>
      <c r="N50" s="185"/>
    </row>
    <row r="51" spans="1:19" x14ac:dyDescent="0.2">
      <c r="N51" s="171"/>
      <c r="O51" s="171"/>
      <c r="P51" s="171"/>
      <c r="Q51" s="171"/>
      <c r="R51" s="171"/>
      <c r="S51" s="171"/>
    </row>
  </sheetData>
  <sheetProtection formatRows="0" insertRows="0"/>
  <mergeCells count="11">
    <mergeCell ref="H31:M31"/>
    <mergeCell ref="C14:D14"/>
    <mergeCell ref="C15:D15"/>
    <mergeCell ref="K2:M2"/>
    <mergeCell ref="K3:M3"/>
    <mergeCell ref="C22:D22"/>
    <mergeCell ref="C12:D12"/>
    <mergeCell ref="C13:D13"/>
    <mergeCell ref="H8:M8"/>
    <mergeCell ref="A5:M5"/>
    <mergeCell ref="H7:M7"/>
  </mergeCells>
  <dataValidations count="1">
    <dataValidation allowBlank="1" showInputMessage="1" showErrorMessage="1" prompt="Please enter text" sqref="F12:F22" xr:uid="{0949BB23-8606-4137-9F0D-B80271B3EC84}"/>
  </dataValidations>
  <pageMargins left="0.70866141732283472" right="0.70866141732283472" top="0.74803149606299213" bottom="0.74803149606299213" header="0.31496062992125989" footer="0.31496062992125989"/>
  <pageSetup paperSize="9" scale="5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1779-8CF5-4589-8AC8-F2C8CAAB7BC7}">
  <sheetPr>
    <tabColor rgb="FF92D050"/>
    <pageSetUpPr fitToPage="1"/>
  </sheetPr>
  <dimension ref="A1:N16"/>
  <sheetViews>
    <sheetView showGridLines="0" view="pageBreakPreview" zoomScaleNormal="100" zoomScaleSheetLayoutView="100" workbookViewId="0">
      <selection activeCell="H14" sqref="H14:M15"/>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15" t="str">
        <f>IF(NOT(ISBLANK(CoverSheet!$C$8)),CoverSheet!$C$8,"")</f>
        <v>Aurora Energy Limited</v>
      </c>
      <c r="L2" s="215"/>
      <c r="M2" s="215"/>
      <c r="N2" s="12"/>
    </row>
    <row r="3" spans="1:14" ht="18" customHeight="1" x14ac:dyDescent="0.3">
      <c r="A3" s="20"/>
      <c r="B3" s="37"/>
      <c r="C3" s="37"/>
      <c r="D3" s="37"/>
      <c r="E3" s="37"/>
      <c r="F3" s="37"/>
      <c r="G3" s="37"/>
      <c r="H3" s="37"/>
      <c r="I3" s="15"/>
      <c r="J3" s="31" t="s">
        <v>37</v>
      </c>
      <c r="K3" s="225" t="str">
        <f>IF(ISNUMBER(CoverSheet!$C$12),TEXT(CoverSheet!$C$12,"_([$-1409]d mmmm yyyy;_(@")&amp;" –"&amp;TEXT(DATE(YEAR(CoverSheet!$C$12)+10,MONTH(CoverSheet!$C$12),DAY(CoverSheet!$C$12)-1),"_([$-1409]d mmmm yyyy;_(@"),"")</f>
        <v xml:space="preserve"> 1 April 2024 – 31 March 2034</v>
      </c>
      <c r="L3" s="225"/>
      <c r="M3" s="225"/>
      <c r="N3" s="12"/>
    </row>
    <row r="4" spans="1:14" ht="18" customHeight="1" x14ac:dyDescent="0.35">
      <c r="A4" s="51"/>
      <c r="B4" s="37"/>
      <c r="C4" s="37"/>
      <c r="D4" s="37"/>
      <c r="E4" s="37"/>
      <c r="F4" s="37"/>
      <c r="G4" s="37"/>
      <c r="H4" s="37"/>
      <c r="I4" s="29"/>
      <c r="J4" s="31" t="s">
        <v>296</v>
      </c>
      <c r="K4" s="232" t="s">
        <v>698</v>
      </c>
      <c r="L4" s="232"/>
      <c r="M4" s="232"/>
      <c r="N4" s="12"/>
    </row>
    <row r="5" spans="1:14" ht="21" x14ac:dyDescent="0.35">
      <c r="A5" s="54" t="s">
        <v>297</v>
      </c>
      <c r="B5" s="37"/>
      <c r="C5" s="37"/>
      <c r="D5" s="37"/>
      <c r="E5" s="37"/>
      <c r="F5" s="37"/>
      <c r="G5" s="37"/>
      <c r="H5" s="37"/>
      <c r="I5" s="29"/>
      <c r="J5" s="31"/>
      <c r="K5" s="31"/>
      <c r="L5" s="31"/>
      <c r="M5" s="31"/>
      <c r="N5" s="12"/>
    </row>
    <row r="6" spans="1:14" s="3" customFormat="1" ht="33" customHeight="1" x14ac:dyDescent="0.2">
      <c r="A6" s="230" t="s">
        <v>298</v>
      </c>
      <c r="B6" s="231"/>
      <c r="C6" s="231"/>
      <c r="D6" s="231"/>
      <c r="E6" s="231"/>
      <c r="F6" s="231"/>
      <c r="G6" s="231"/>
      <c r="H6" s="231"/>
      <c r="I6" s="231"/>
      <c r="J6" s="231"/>
      <c r="K6" s="231"/>
      <c r="L6" s="231"/>
      <c r="M6" s="231"/>
      <c r="N6" s="32"/>
    </row>
    <row r="7" spans="1:14" ht="15" customHeight="1" x14ac:dyDescent="0.2">
      <c r="A7" s="25" t="s">
        <v>39</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40</v>
      </c>
      <c r="I8" s="21" t="s">
        <v>41</v>
      </c>
      <c r="J8" s="21" t="s">
        <v>42</v>
      </c>
      <c r="K8" s="21" t="s">
        <v>43</v>
      </c>
      <c r="L8" s="21" t="s">
        <v>44</v>
      </c>
      <c r="M8" s="21" t="s">
        <v>45</v>
      </c>
      <c r="N8" s="24"/>
    </row>
    <row r="9" spans="1:14" ht="12.75" customHeight="1" x14ac:dyDescent="0.2">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299</v>
      </c>
      <c r="F10" s="52"/>
      <c r="G10" s="143"/>
      <c r="H10" s="44"/>
      <c r="I10" s="39"/>
      <c r="J10" s="39"/>
      <c r="K10" s="39"/>
      <c r="L10" s="39"/>
      <c r="M10" s="39"/>
      <c r="N10" s="7"/>
    </row>
    <row r="11" spans="1:14" ht="15" customHeight="1" x14ac:dyDescent="0.2">
      <c r="A11" s="30">
        <v>11</v>
      </c>
      <c r="B11" s="49"/>
      <c r="C11" s="23"/>
      <c r="D11" s="49"/>
      <c r="E11" s="52"/>
      <c r="F11" s="52" t="s">
        <v>300</v>
      </c>
      <c r="G11" s="46"/>
      <c r="H11" s="131">
        <v>177.3</v>
      </c>
      <c r="I11" s="131">
        <v>142.30000000000001</v>
      </c>
      <c r="J11" s="131">
        <v>143.69999999999999</v>
      </c>
      <c r="K11" s="131">
        <v>135.4</v>
      </c>
      <c r="L11" s="131">
        <v>153.9</v>
      </c>
      <c r="M11" s="131">
        <v>138.19999999999999</v>
      </c>
      <c r="N11" s="7"/>
    </row>
    <row r="12" spans="1:14" ht="15" customHeight="1" x14ac:dyDescent="0.2">
      <c r="A12" s="30">
        <v>12</v>
      </c>
      <c r="B12" s="49"/>
      <c r="C12" s="23"/>
      <c r="D12" s="49"/>
      <c r="E12" s="52"/>
      <c r="F12" s="52" t="s">
        <v>301</v>
      </c>
      <c r="G12" s="50"/>
      <c r="H12" s="131">
        <v>153.9</v>
      </c>
      <c r="I12" s="131">
        <v>143.69999999999999</v>
      </c>
      <c r="J12" s="131">
        <v>143.69999999999999</v>
      </c>
      <c r="K12" s="131">
        <v>141.19999999999999</v>
      </c>
      <c r="L12" s="131">
        <v>138.9</v>
      </c>
      <c r="M12" s="131">
        <v>136.69999999999999</v>
      </c>
      <c r="N12" s="7"/>
    </row>
    <row r="13" spans="1:14" ht="30" customHeight="1" x14ac:dyDescent="0.2">
      <c r="A13" s="30">
        <v>13</v>
      </c>
      <c r="B13" s="49"/>
      <c r="C13" s="52"/>
      <c r="D13" s="49"/>
      <c r="E13" s="45" t="s">
        <v>302</v>
      </c>
      <c r="F13" s="52"/>
      <c r="G13" s="49"/>
      <c r="H13" s="49"/>
      <c r="I13" s="49"/>
      <c r="J13" s="49"/>
      <c r="K13" s="49"/>
      <c r="L13" s="49"/>
      <c r="M13" s="49"/>
      <c r="N13" s="7"/>
    </row>
    <row r="14" spans="1:14" ht="15" customHeight="1" x14ac:dyDescent="0.2">
      <c r="A14" s="30">
        <v>14</v>
      </c>
      <c r="B14" s="49"/>
      <c r="C14" s="23"/>
      <c r="D14" s="49"/>
      <c r="E14" s="52"/>
      <c r="F14" s="52" t="s">
        <v>300</v>
      </c>
      <c r="G14" s="50"/>
      <c r="H14" s="127">
        <v>0.62</v>
      </c>
      <c r="I14" s="127">
        <v>0.62</v>
      </c>
      <c r="J14" s="127">
        <v>0.63</v>
      </c>
      <c r="K14" s="127">
        <v>0.6</v>
      </c>
      <c r="L14" s="127">
        <v>0.67</v>
      </c>
      <c r="M14" s="127">
        <v>0.61</v>
      </c>
      <c r="N14" s="7"/>
    </row>
    <row r="15" spans="1:14" ht="15" customHeight="1" x14ac:dyDescent="0.2">
      <c r="A15" s="30">
        <v>15</v>
      </c>
      <c r="B15" s="49"/>
      <c r="C15" s="23"/>
      <c r="D15" s="49"/>
      <c r="E15" s="52"/>
      <c r="F15" s="52" t="s">
        <v>301</v>
      </c>
      <c r="G15" s="50"/>
      <c r="H15" s="127">
        <v>2.0699999999999998</v>
      </c>
      <c r="I15" s="127">
        <v>1.96</v>
      </c>
      <c r="J15" s="127">
        <v>1.96</v>
      </c>
      <c r="K15" s="127">
        <v>1.95</v>
      </c>
      <c r="L15" s="127">
        <v>1.94</v>
      </c>
      <c r="M15" s="127">
        <v>1.91</v>
      </c>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7370E767-CE48-4C4F-BF5A-6D6470F9973D}"/>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 i M a n a g e ! 4 6 8 0 5 5 3 . 2 < / d o c u m e n t i d >  
     < s e n d e r i d > J A C K I J < / s e n d e r i d >  
     < s e n d e r e m a i l > J A C K I . J O N E S @ C O M C O M . G O V T . N Z < / s e n d e r e m a i l >  
     < l a s t m o d i f i e d > 2 0 2 3 - 0 5 - 1 8 T 1 4 : 3 0 : 5 7 . 0 0 0 0 0 0 0 + 1 2 : 0 0 < / l a s t m o d i f i e d >  
     < d a t a b a s e > i M a n a g e < / 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B337467E407A4E81DE014878D396D1" ma:contentTypeVersion="19" ma:contentTypeDescription="Create a new document." ma:contentTypeScope="" ma:versionID="a9aa2c2d6a4c3bb81655fb0879086279">
  <xsd:schema xmlns:xsd="http://www.w3.org/2001/XMLSchema" xmlns:xs="http://www.w3.org/2001/XMLSchema" xmlns:p="http://schemas.microsoft.com/office/2006/metadata/properties" xmlns:ns2="5c79b76d-a314-4550-a5d5-3f06d9ffac13" xmlns:ns3="54035f38-61e2-4bce-93cc-23d79b3f2615" targetNamespace="http://schemas.microsoft.com/office/2006/metadata/properties" ma:root="true" ma:fieldsID="b9547ae1639ad13b52a4f094ca0272a7" ns2:_="" ns3:_="">
    <xsd:import namespace="5c79b76d-a314-4550-a5d5-3f06d9ffac13"/>
    <xsd:import namespace="54035f38-61e2-4bce-93cc-23d79b3f26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DocumentStatus" minOccurs="0"/>
                <xsd:element ref="ns2:Note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b76d-a314-4550-a5d5-3f06d9ffac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6e01a31-82bc-47e9-8d26-112a7895288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DocumentStatus" ma:index="22" nillable="true" ma:displayName="Document Status" ma:format="Dropdown" ma:internalName="DocumentStatus">
      <xsd:simpleType>
        <xsd:restriction base="dms:Choice">
          <xsd:enumeration value="Superseded"/>
          <xsd:enumeration value="Uploaded to Audit NZ portal"/>
          <xsd:enumeration value="Additional documentation"/>
        </xsd:restriction>
      </xsd:simpleType>
    </xsd:element>
    <xsd:element name="Notes" ma:index="23" nillable="true" ma:displayName="Notes" ma:format="Dropdown" ma:internalName="Notes">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9392bd3-07df-4021-b4bb-d55de2f1bdba}" ma:internalName="TaxCatchAll" ma:showField="CatchAllData" ma:web="54035f38-61e2-4bce-93cc-23d79b3f26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otes xmlns="5c79b76d-a314-4550-a5d5-3f06d9ffac13" xsi:nil="true"/>
    <lcf76f155ced4ddcb4097134ff3c332f xmlns="5c79b76d-a314-4550-a5d5-3f06d9ffac13">
      <Terms xmlns="http://schemas.microsoft.com/office/infopath/2007/PartnerControls"/>
    </lcf76f155ced4ddcb4097134ff3c332f>
    <DocumentStatus xmlns="5c79b76d-a314-4550-a5d5-3f06d9ffac13" xsi:nil="true"/>
    <TaxCatchAll xmlns="54035f38-61e2-4bce-93cc-23d79b3f2615" xsi:nil="true"/>
  </documentManagement>
</p:properties>
</file>

<file path=customXml/itemProps1.xml><?xml version="1.0" encoding="utf-8"?>
<ds:datastoreItem xmlns:ds="http://schemas.openxmlformats.org/officeDocument/2006/customXml" ds:itemID="{0EF47927-B7D5-4D37-9742-2543592B39A7}">
  <ds:schemaRefs>
    <ds:schemaRef ds:uri="http://www.imanage.com/work/xmlschema"/>
  </ds:schemaRefs>
</ds:datastoreItem>
</file>

<file path=customXml/itemProps2.xml><?xml version="1.0" encoding="utf-8"?>
<ds:datastoreItem xmlns:ds="http://schemas.openxmlformats.org/officeDocument/2006/customXml" ds:itemID="{B928B96D-A55E-492D-88BF-9CBB5CA12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b76d-a314-4550-a5d5-3f06d9ffac13"/>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006998-2E43-437E-A893-92EC6870BF90}">
  <ds:schemaRefs>
    <ds:schemaRef ds:uri="http://schemas.microsoft.com/sharepoint/v3/contenttype/forms"/>
  </ds:schemaRefs>
</ds:datastoreItem>
</file>

<file path=customXml/itemProps4.xml><?xml version="1.0" encoding="utf-8"?>
<ds:datastoreItem xmlns:ds="http://schemas.openxmlformats.org/officeDocument/2006/customXml" ds:itemID="{820D1819-BC71-409D-ABDD-830A0A34FC48}">
  <ds:schemaRefs>
    <ds:schemaRef ds:uri="http://schemas.microsoft.com/office/2006/metadata/properties"/>
    <ds:schemaRef ds:uri="http://schemas.microsoft.com/office/infopath/2007/PartnerControls"/>
    <ds:schemaRef ds:uri="5c79b76d-a314-4550-a5d5-3f06d9ffac13"/>
    <ds:schemaRef ds:uri="54035f38-61e2-4bce-93cc-23d79b3f261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 (Tot)</vt:lpstr>
      <vt:lpstr>S12d.Reliability Forecast (Dun)</vt:lpstr>
      <vt:lpstr>S12d.Reliability Forecast (CO)</vt:lpstr>
      <vt:lpstr>S12d.Reliability Forecast (Q)</vt:lpstr>
      <vt:lpstr>S13.AMMAT</vt:lpstr>
      <vt:lpstr>CoverSheet!Print_Area</vt:lpstr>
      <vt:lpstr>Instructions!Print_Area</vt:lpstr>
      <vt:lpstr>'S11a.Capex Forecast'!Print_Area</vt:lpstr>
      <vt:lpstr>'S11b.Opex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 (CO)'!Print_Titles</vt:lpstr>
      <vt:lpstr>'S12d.Reliability Forecast (Dun)'!Print_Titles</vt:lpstr>
      <vt:lpstr>'S12d.Reliability Forecast (Q)'!Print_Titles</vt:lpstr>
      <vt:lpstr>'S12d.Reliability Forecast (Tot)'!Print_Titles</vt:lpstr>
      <vt:lpstr>S13.AMMAT!Print_Titles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2023-04-26T21:31:32Z</dcterms:created>
  <dcterms:modified xsi:type="dcterms:W3CDTF">2024-03-26T02:59:30Z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0x010100ECB337467E407A4E81DE014878D396D1</vt:lpwstr>
  </property>
  <property fmtid="{D5CDD505-2E9C-101B-9397-08002B2CF9AE}" pid="3" name="MediaServiceImageTags">
    <vt:lpwstr/>
  </property>
</Properties>
</file>