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https://auroraenergynz-my.sharepoint.com/personal/terri_sinclair_auroraenergy_nz/Documents/Documents/2023 disclosures/2022/"/>
    </mc:Choice>
  </mc:AlternateContent>
  <xr:revisionPtr revIDLastSave="0" documentId="8_{131E9CBC-7C9D-409F-9DA7-ACE9F0C73AF7}" xr6:coauthVersionLast="47" xr6:coauthVersionMax="47" xr10:uidLastSave="{00000000-0000-0000-0000-000000000000}"/>
  <workbookProtection workbookAlgorithmName="SHA-512" workbookHashValue="LBe0H8JQaAefjQJZxq5M0c9T8eLfYHPvNQTtxNpQjGxxLlLW1dueD9mQgyJepg1tegOkZmtId8dKfc427yqKcQ==" workbookSaltValue="YIFVng1nEHTvcZRTcgJHAg==" workbookSpinCount="100000" lockStructure="1"/>
  <bookViews>
    <workbookView xWindow="-120" yWindow="-120" windowWidth="29040" windowHeight="15840" tabRatio="899" xr2:uid="{C4DBFAE1-932D-4976-9020-893C96254C5A}"/>
  </bookViews>
  <sheets>
    <sheet name="Model Guide" sheetId="58" r:id="rId1"/>
    <sheet name="Glossary" sheetId="82" r:id="rId2"/>
    <sheet name="Check Summary" sheetId="4" r:id="rId3"/>
    <sheet name="Name labels" sheetId="44" r:id="rId4"/>
    <sheet name="Inputs &gt;" sheetId="74" r:id="rId5"/>
    <sheet name="Target Revenue" sheetId="49" r:id="rId6"/>
    <sheet name="Allocator Data" sheetId="45" r:id="rId7"/>
    <sheet name="Asset Mapping" sheetId="29" r:id="rId8"/>
    <sheet name="Calculations &gt;" sheetId="26" r:id="rId9"/>
    <sheet name="Pricing Area Allocations" sheetId="46" r:id="rId10"/>
    <sheet name="RAB Allocations" sheetId="43" r:id="rId11"/>
    <sheet name="RAB - Depreciation Allocations" sheetId="69" r:id="rId12"/>
    <sheet name="Load Group Allocations" sheetId="51" r:id="rId13"/>
    <sheet name="Outputs &gt;" sheetId="24" r:id="rId14"/>
    <sheet name="Rev - Pricing Area &amp; Cust Group" sheetId="81" r:id="rId15"/>
    <sheet name="Pricing Methodology Tables" sheetId="80" r:id="rId16"/>
  </sheets>
  <definedNames>
    <definedName name="_ftn1" localSheetId="15">'Pricing Methodology Tables'!$C$42</definedName>
    <definedName name="_ftnref1" localSheetId="15">'Pricing Methodology Tables'!#REF!</definedName>
    <definedName name="_Ref66367207" localSheetId="15">'Pricing Methodology Tables'!$C$10</definedName>
    <definedName name="_Ref66367752" localSheetId="15">'Pricing Methodology Tables'!$J$10</definedName>
    <definedName name="_Ref66367811" localSheetId="15">'Pricing Methodology Tables'!$S$10</definedName>
    <definedName name="_Ref66368152" localSheetId="15">'Pricing Methodology Tables'!$AB$10</definedName>
    <definedName name="CheckTolerance">0.0001</definedName>
    <definedName name="_xlnm.Print_Area" localSheetId="6">'Allocator Data'!$A$1:$M$203</definedName>
    <definedName name="_xlnm.Print_Area" localSheetId="7">'Asset Mapping'!$A$1:$J$137</definedName>
    <definedName name="_xlnm.Print_Area" localSheetId="2">'Check Summary'!$A$1:$H$36</definedName>
    <definedName name="_xlnm.Print_Area" localSheetId="1">Glossary!$A$1:$I$23</definedName>
    <definedName name="_xlnm.Print_Area" localSheetId="4">'Inputs &gt;'!$A$1:$J$44</definedName>
    <definedName name="_xlnm.Print_Area" localSheetId="0">'Model Guide'!$A$1:$H$88</definedName>
    <definedName name="_xlnm.Print_Area" localSheetId="3">'Name labels'!$A$1:$E$78</definedName>
    <definedName name="_xlnm.Print_Area" localSheetId="5">'Target Revenue'!$A$1:$V$57</definedName>
    <definedName name="Rounding.tolerance">1</definedName>
    <definedName name="Status">'Check Summary'!$D$10</definedName>
    <definedName name="Switch">'Check Summary'!#REF!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8" i="80" l="1"/>
  <c r="AG38" i="80"/>
  <c r="AF38" i="80"/>
  <c r="AE38" i="80"/>
  <c r="AD38" i="80"/>
  <c r="AC38" i="80"/>
  <c r="AH37" i="80"/>
  <c r="AG37" i="80"/>
  <c r="AF37" i="80"/>
  <c r="AE37" i="80"/>
  <c r="AD37" i="80"/>
  <c r="AC37" i="80"/>
  <c r="AH36" i="80"/>
  <c r="AG36" i="80"/>
  <c r="AF36" i="80"/>
  <c r="AE36" i="80"/>
  <c r="AD36" i="80"/>
  <c r="AC36" i="80"/>
  <c r="AH35" i="80"/>
  <c r="AG35" i="80"/>
  <c r="AF35" i="80"/>
  <c r="AE35" i="80"/>
  <c r="AD35" i="80"/>
  <c r="AC35" i="80"/>
  <c r="AI36" i="80"/>
  <c r="AH31" i="80"/>
  <c r="AG31" i="80"/>
  <c r="AF31" i="80"/>
  <c r="AE31" i="80"/>
  <c r="AD31" i="80"/>
  <c r="AC31" i="80"/>
  <c r="AH30" i="80"/>
  <c r="AG30" i="80"/>
  <c r="AF30" i="80"/>
  <c r="AE30" i="80"/>
  <c r="AD30" i="80"/>
  <c r="AI30" i="80" s="1"/>
  <c r="AC30" i="80"/>
  <c r="AH29" i="80"/>
  <c r="AG29" i="80"/>
  <c r="AF29" i="80"/>
  <c r="AE29" i="80"/>
  <c r="AD29" i="80"/>
  <c r="AC29" i="80"/>
  <c r="AH28" i="80"/>
  <c r="AG28" i="80"/>
  <c r="AF28" i="80"/>
  <c r="AE28" i="80"/>
  <c r="AD28" i="80"/>
  <c r="AC28" i="80"/>
  <c r="AH24" i="80"/>
  <c r="AG24" i="80"/>
  <c r="AF24" i="80"/>
  <c r="AE24" i="80"/>
  <c r="AD24" i="80"/>
  <c r="AC24" i="80"/>
  <c r="AH23" i="80"/>
  <c r="AG23" i="80"/>
  <c r="AF23" i="80"/>
  <c r="AE23" i="80"/>
  <c r="AD23" i="80"/>
  <c r="AC23" i="80"/>
  <c r="AH22" i="80"/>
  <c r="AG22" i="80"/>
  <c r="AF22" i="80"/>
  <c r="AE22" i="80"/>
  <c r="AD22" i="80"/>
  <c r="AC22" i="80"/>
  <c r="AH21" i="80"/>
  <c r="AG21" i="80"/>
  <c r="AF21" i="80"/>
  <c r="AE21" i="80"/>
  <c r="AD21" i="80"/>
  <c r="AC21" i="80"/>
  <c r="AI23" i="80"/>
  <c r="AH17" i="80"/>
  <c r="AG17" i="80"/>
  <c r="AF17" i="80"/>
  <c r="AE17" i="80"/>
  <c r="AD17" i="80"/>
  <c r="AC17" i="80"/>
  <c r="AH16" i="80"/>
  <c r="AG16" i="80"/>
  <c r="AF16" i="80"/>
  <c r="AE16" i="80"/>
  <c r="AD16" i="80"/>
  <c r="AC16" i="80"/>
  <c r="AH15" i="80"/>
  <c r="AG15" i="80"/>
  <c r="AF15" i="80"/>
  <c r="AE15" i="80"/>
  <c r="AD15" i="80"/>
  <c r="AC15" i="80"/>
  <c r="AH14" i="80"/>
  <c r="AG14" i="80"/>
  <c r="AF14" i="80"/>
  <c r="AE14" i="80"/>
  <c r="AD14" i="80"/>
  <c r="AC14" i="80"/>
  <c r="AI29" i="80"/>
  <c r="E32" i="80"/>
  <c r="D32" i="80"/>
  <c r="K129" i="45"/>
  <c r="J129" i="45"/>
  <c r="L129" i="45" s="1"/>
  <c r="I129" i="45"/>
  <c r="I127" i="45"/>
  <c r="L18" i="45"/>
  <c r="L16" i="45"/>
  <c r="K21" i="45"/>
  <c r="K20" i="45"/>
  <c r="K19" i="45"/>
  <c r="K17" i="45"/>
  <c r="J19" i="45"/>
  <c r="J17" i="45"/>
  <c r="I19" i="45"/>
  <c r="I17" i="45"/>
  <c r="L17" i="45" s="1"/>
  <c r="B2" i="82"/>
  <c r="AI35" i="80" l="1"/>
  <c r="AI37" i="80"/>
  <c r="AI38" i="80"/>
  <c r="AI28" i="80"/>
  <c r="AI31" i="80"/>
  <c r="AI21" i="80"/>
  <c r="AI22" i="80"/>
  <c r="AI24" i="80"/>
  <c r="B52" i="49"/>
  <c r="B53" i="49"/>
  <c r="B51" i="49"/>
  <c r="I62" i="45" l="1"/>
  <c r="J62" i="45"/>
  <c r="K62" i="45"/>
  <c r="L62" i="45"/>
  <c r="H43" i="49" l="1"/>
  <c r="I43" i="49"/>
  <c r="C55" i="49"/>
  <c r="H90" i="29"/>
  <c r="G95" i="29"/>
  <c r="H42" i="29"/>
  <c r="G42" i="29"/>
  <c r="D179" i="45"/>
  <c r="D104" i="45"/>
  <c r="D96" i="45"/>
  <c r="D88" i="45"/>
  <c r="D80" i="45"/>
  <c r="J17" i="80"/>
  <c r="E11" i="80" l="1"/>
  <c r="G12" i="80" s="1"/>
  <c r="D11" i="80"/>
  <c r="H11" i="80" s="1"/>
  <c r="E39" i="80"/>
  <c r="G13" i="80" l="1"/>
  <c r="C25" i="80"/>
  <c r="C26" i="80"/>
  <c r="C34" i="80"/>
  <c r="C28" i="80"/>
  <c r="C30" i="80"/>
  <c r="C36" i="80"/>
  <c r="C29" i="80"/>
  <c r="C27" i="80"/>
  <c r="C31" i="80"/>
  <c r="C33" i="80"/>
  <c r="C35" i="80"/>
  <c r="B35" i="49"/>
  <c r="B36" i="49"/>
  <c r="B37" i="49"/>
  <c r="B34" i="49"/>
  <c r="C21" i="80"/>
  <c r="C23" i="80"/>
  <c r="C20" i="80"/>
  <c r="C19" i="80"/>
  <c r="C22" i="80"/>
  <c r="C14" i="80"/>
  <c r="C17" i="80"/>
  <c r="C15" i="80"/>
  <c r="C16" i="80"/>
  <c r="C24" i="80"/>
  <c r="C18" i="80"/>
  <c r="C12" i="80"/>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40"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197"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54"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11" i="51"/>
  <c r="D69" i="51"/>
  <c r="D70" i="51"/>
  <c r="D71" i="51"/>
  <c r="D72" i="51"/>
  <c r="D73" i="51"/>
  <c r="D74" i="51"/>
  <c r="D75" i="51"/>
  <c r="D76" i="51"/>
  <c r="D77" i="51"/>
  <c r="D78" i="51"/>
  <c r="D79" i="51"/>
  <c r="D80" i="51"/>
  <c r="D81" i="51"/>
  <c r="D82" i="51"/>
  <c r="D83" i="51"/>
  <c r="D84" i="51"/>
  <c r="D85" i="51"/>
  <c r="D86" i="51"/>
  <c r="D87" i="51"/>
  <c r="D88" i="51"/>
  <c r="D89" i="51"/>
  <c r="D90" i="51"/>
  <c r="D91" i="51"/>
  <c r="D92" i="51"/>
  <c r="D68" i="51"/>
  <c r="D31" i="46"/>
  <c r="D32" i="46"/>
  <c r="D33" i="46"/>
  <c r="D34" i="46"/>
  <c r="D35" i="46"/>
  <c r="D36" i="46"/>
  <c r="D37" i="46"/>
  <c r="D38" i="46"/>
  <c r="D39" i="46"/>
  <c r="D40" i="46"/>
  <c r="D41" i="46"/>
  <c r="D42" i="46"/>
  <c r="D43" i="46"/>
  <c r="D44" i="46"/>
  <c r="D45" i="46"/>
  <c r="D46" i="46"/>
  <c r="D47" i="46"/>
  <c r="D48" i="46"/>
  <c r="D49" i="46"/>
  <c r="D50" i="46"/>
  <c r="D51" i="46"/>
  <c r="D52" i="46"/>
  <c r="D53" i="46"/>
  <c r="D54" i="46"/>
  <c r="D30" i="46"/>
  <c r="D26" i="51"/>
  <c r="D27" i="51"/>
  <c r="D28" i="51"/>
  <c r="D29" i="51"/>
  <c r="D30" i="51"/>
  <c r="D31" i="51"/>
  <c r="D32" i="51"/>
  <c r="D33" i="51"/>
  <c r="D34" i="51"/>
  <c r="D35" i="51"/>
  <c r="D36" i="51"/>
  <c r="D37" i="51"/>
  <c r="D38" i="51"/>
  <c r="D39" i="51"/>
  <c r="D40" i="51"/>
  <c r="D41" i="51"/>
  <c r="D42" i="51"/>
  <c r="D43" i="51"/>
  <c r="D44" i="51"/>
  <c r="D45" i="51"/>
  <c r="D46" i="51"/>
  <c r="D47" i="51"/>
  <c r="D48" i="51"/>
  <c r="D49" i="51"/>
  <c r="D25" i="51"/>
  <c r="B17" i="51"/>
  <c r="AB15" i="80" s="1"/>
  <c r="AB22" i="80" s="1"/>
  <c r="AB29" i="80" s="1"/>
  <c r="AB36" i="80" s="1"/>
  <c r="B18" i="51"/>
  <c r="AB16" i="80" s="1"/>
  <c r="AB23" i="80" s="1"/>
  <c r="AB30" i="80" s="1"/>
  <c r="AB37" i="80" s="1"/>
  <c r="B19" i="51"/>
  <c r="AB17" i="80" s="1"/>
  <c r="AB24" i="80" s="1"/>
  <c r="AB31" i="80" s="1"/>
  <c r="AB38" i="80" s="1"/>
  <c r="B20" i="51"/>
  <c r="AB18" i="80" s="1"/>
  <c r="AB25" i="80" s="1"/>
  <c r="AB32" i="80" s="1"/>
  <c r="AB39" i="80" s="1"/>
  <c r="B21" i="51"/>
  <c r="AB19" i="80" s="1"/>
  <c r="AB26" i="80" s="1"/>
  <c r="AB33" i="80" s="1"/>
  <c r="AB40" i="80" s="1"/>
  <c r="B14" i="51"/>
  <c r="B16" i="51"/>
  <c r="AB14" i="80" s="1"/>
  <c r="AB21" i="80" s="1"/>
  <c r="AB28" i="80" s="1"/>
  <c r="AB35" i="80" s="1"/>
  <c r="C30" i="49"/>
  <c r="C29" i="49"/>
  <c r="C18" i="49"/>
  <c r="C17" i="49"/>
  <c r="B30" i="49"/>
  <c r="F30" i="49" s="1"/>
  <c r="B18" i="49"/>
  <c r="F18" i="49" s="1"/>
  <c r="H45" i="49"/>
  <c r="E112" i="51" l="1"/>
  <c r="E124" i="51"/>
  <c r="C43" i="46"/>
  <c r="G30" i="49"/>
  <c r="G18" i="49"/>
  <c r="C31" i="46" s="1"/>
  <c r="E167" i="51"/>
  <c r="E26" i="51"/>
  <c r="E38" i="51"/>
  <c r="E155" i="51"/>
  <c r="E198" i="51"/>
  <c r="E81" i="51"/>
  <c r="E69" i="51"/>
  <c r="E253" i="51"/>
  <c r="E241" i="51"/>
  <c r="E210" i="51"/>
  <c r="I15" i="49"/>
  <c r="H15" i="49"/>
  <c r="J30" i="49" l="1"/>
  <c r="B2" i="80"/>
  <c r="K3" i="81"/>
  <c r="K12" i="81" s="1"/>
  <c r="K23" i="81" s="1"/>
  <c r="K34" i="81" s="1"/>
  <c r="J3" i="81"/>
  <c r="J12" i="81" s="1"/>
  <c r="J23" i="81" s="1"/>
  <c r="J34" i="81" s="1"/>
  <c r="I3" i="81"/>
  <c r="I12" i="81" s="1"/>
  <c r="I23" i="81" s="1"/>
  <c r="I34" i="81" s="1"/>
  <c r="H3" i="81"/>
  <c r="H12" i="81" s="1"/>
  <c r="H23" i="81" s="1"/>
  <c r="H34" i="81" s="1"/>
  <c r="B3" i="81"/>
  <c r="B2" i="81"/>
  <c r="B15" i="46"/>
  <c r="J15" i="80" s="1"/>
  <c r="B16" i="46"/>
  <c r="J16" i="80" s="1"/>
  <c r="B17" i="46"/>
  <c r="B18" i="46"/>
  <c r="B19" i="46"/>
  <c r="B20" i="46"/>
  <c r="B21" i="46"/>
  <c r="J18" i="80" s="1"/>
  <c r="B22" i="46"/>
  <c r="J19" i="80" s="1"/>
  <c r="B23" i="46"/>
  <c r="J20" i="80" s="1"/>
  <c r="B24" i="46"/>
  <c r="J21" i="80" s="1"/>
  <c r="B14" i="46"/>
  <c r="J14" i="80" s="1"/>
  <c r="C23" i="29"/>
  <c r="B10" i="29"/>
  <c r="B184" i="45"/>
  <c r="B166" i="45"/>
  <c r="B148" i="45"/>
  <c r="B124" i="45"/>
  <c r="B100" i="45"/>
  <c r="B92" i="45"/>
  <c r="B84" i="45"/>
  <c r="B76" i="45"/>
  <c r="B52" i="45"/>
  <c r="B44" i="45"/>
  <c r="B36" i="45"/>
  <c r="B12" i="45"/>
  <c r="F15" i="49"/>
  <c r="E15" i="49"/>
  <c r="D15" i="49"/>
  <c r="B42" i="49"/>
  <c r="B41" i="49"/>
  <c r="B40" i="49"/>
  <c r="B39" i="49"/>
  <c r="B38" i="49"/>
  <c r="C37" i="49"/>
  <c r="C36" i="49"/>
  <c r="C35" i="49"/>
  <c r="C34" i="49"/>
  <c r="B33" i="49"/>
  <c r="B32" i="49"/>
  <c r="F32" i="49" s="1"/>
  <c r="C45" i="46" s="1"/>
  <c r="B31" i="49"/>
  <c r="B29" i="49"/>
  <c r="B28" i="49"/>
  <c r="B27" i="49"/>
  <c r="B26" i="49"/>
  <c r="B25" i="49"/>
  <c r="B24" i="49"/>
  <c r="B23" i="49"/>
  <c r="B22" i="49"/>
  <c r="B21" i="49"/>
  <c r="B20" i="49"/>
  <c r="B19" i="49"/>
  <c r="B17" i="49"/>
  <c r="B15" i="49"/>
  <c r="D29" i="29"/>
  <c r="C29" i="29"/>
  <c r="G66" i="29"/>
  <c r="B26" i="29"/>
  <c r="D26" i="29" s="1"/>
  <c r="B62" i="29" s="1"/>
  <c r="B27" i="29"/>
  <c r="D27" i="29" s="1"/>
  <c r="B86" i="29" s="1"/>
  <c r="B25" i="29"/>
  <c r="C10" i="29"/>
  <c r="B23" i="29" s="1"/>
  <c r="D42" i="81"/>
  <c r="D31" i="81"/>
  <c r="D20" i="81"/>
  <c r="C45" i="81"/>
  <c r="B34" i="81"/>
  <c r="S14" i="80"/>
  <c r="S15" i="80"/>
  <c r="S12" i="80"/>
  <c r="D25" i="29" l="1"/>
  <c r="B38" i="29" s="1"/>
  <c r="D12" i="29"/>
  <c r="D19" i="29"/>
  <c r="G19" i="49"/>
  <c r="F19" i="49"/>
  <c r="G23" i="49"/>
  <c r="F23" i="49"/>
  <c r="F21" i="49"/>
  <c r="G21" i="49"/>
  <c r="F25" i="49"/>
  <c r="C38" i="46" s="1"/>
  <c r="G25" i="49"/>
  <c r="G29" i="49"/>
  <c r="F29" i="49"/>
  <c r="C42" i="46" s="1"/>
  <c r="F17" i="49"/>
  <c r="G17" i="49"/>
  <c r="F22" i="49"/>
  <c r="G22" i="49"/>
  <c r="F26" i="49"/>
  <c r="C39" i="46" s="1"/>
  <c r="G26" i="49"/>
  <c r="F31" i="49"/>
  <c r="C44" i="46" s="1"/>
  <c r="G31" i="49"/>
  <c r="G20" i="49"/>
  <c r="F20" i="49"/>
  <c r="G24" i="49"/>
  <c r="F24" i="49"/>
  <c r="G28" i="49"/>
  <c r="F28" i="49"/>
  <c r="C41" i="46" s="1"/>
  <c r="G41" i="49"/>
  <c r="F41" i="49"/>
  <c r="C54" i="46" s="1"/>
  <c r="G38" i="49"/>
  <c r="F38" i="49"/>
  <c r="C51" i="46" s="1"/>
  <c r="F40" i="49"/>
  <c r="C53" i="46" s="1"/>
  <c r="G40" i="49"/>
  <c r="F39" i="49"/>
  <c r="C52" i="46" s="1"/>
  <c r="G39" i="49"/>
  <c r="G37" i="49"/>
  <c r="F37" i="49"/>
  <c r="C50" i="46" s="1"/>
  <c r="F36" i="49"/>
  <c r="C49" i="46" s="1"/>
  <c r="G36" i="49"/>
  <c r="F35" i="49"/>
  <c r="C48" i="46" s="1"/>
  <c r="G35" i="49"/>
  <c r="G34" i="49"/>
  <c r="F34" i="49"/>
  <c r="C47" i="46" s="1"/>
  <c r="F27" i="49"/>
  <c r="C40" i="46" s="1"/>
  <c r="G27" i="49"/>
  <c r="G33" i="49"/>
  <c r="F33" i="49"/>
  <c r="C46" i="46" s="1"/>
  <c r="G32" i="49"/>
  <c r="D18" i="29"/>
  <c r="D14" i="29"/>
  <c r="D21" i="29"/>
  <c r="D17" i="29"/>
  <c r="D13" i="29"/>
  <c r="D20" i="29"/>
  <c r="D16" i="29"/>
  <c r="D15" i="29"/>
  <c r="C30" i="46" l="1"/>
  <c r="C37" i="46"/>
  <c r="C32" i="46"/>
  <c r="C35" i="46"/>
  <c r="C34" i="46"/>
  <c r="C33" i="46"/>
  <c r="C36" i="46"/>
  <c r="J36" i="49"/>
  <c r="C53" i="49"/>
  <c r="C51" i="49"/>
  <c r="C52" i="49"/>
  <c r="J34" i="49"/>
  <c r="J28" i="49"/>
  <c r="J37" i="49"/>
  <c r="J41" i="49"/>
  <c r="J29" i="49"/>
  <c r="J27" i="49"/>
  <c r="J35" i="49"/>
  <c r="J31" i="49"/>
  <c r="E251" i="51"/>
  <c r="E79" i="51"/>
  <c r="E36" i="51"/>
  <c r="E208" i="51"/>
  <c r="E165" i="51"/>
  <c r="E122" i="51"/>
  <c r="E243" i="51"/>
  <c r="E114" i="51"/>
  <c r="E157" i="51"/>
  <c r="E200" i="51"/>
  <c r="E28" i="51"/>
  <c r="E71" i="51"/>
  <c r="E203" i="51"/>
  <c r="E74" i="51"/>
  <c r="E246" i="51"/>
  <c r="E160" i="51"/>
  <c r="E31" i="51"/>
  <c r="E117" i="51"/>
  <c r="E120" i="51"/>
  <c r="E249" i="51"/>
  <c r="E206" i="51"/>
  <c r="E34" i="51"/>
  <c r="E77" i="51"/>
  <c r="E163" i="51"/>
  <c r="E197" i="51"/>
  <c r="E154" i="51"/>
  <c r="E25" i="51"/>
  <c r="E68" i="51"/>
  <c r="E240" i="51"/>
  <c r="E111" i="51"/>
  <c r="E248" i="51"/>
  <c r="E76" i="51"/>
  <c r="E119" i="51"/>
  <c r="E205" i="51"/>
  <c r="E33" i="51"/>
  <c r="E162" i="51"/>
  <c r="E264" i="51"/>
  <c r="E135" i="51"/>
  <c r="E49" i="51"/>
  <c r="E178" i="51"/>
  <c r="E92" i="51"/>
  <c r="E221" i="51"/>
  <c r="E32" i="51"/>
  <c r="E247" i="51"/>
  <c r="E204" i="51"/>
  <c r="E75" i="51"/>
  <c r="E118" i="51"/>
  <c r="E161" i="51"/>
  <c r="E80" i="51"/>
  <c r="E209" i="51"/>
  <c r="E252" i="51"/>
  <c r="E123" i="51"/>
  <c r="E37" i="51"/>
  <c r="E166" i="51"/>
  <c r="E199" i="51"/>
  <c r="E70" i="51"/>
  <c r="E242" i="51"/>
  <c r="E156" i="51"/>
  <c r="E27" i="51"/>
  <c r="E113" i="51"/>
  <c r="E211" i="51"/>
  <c r="E254" i="51"/>
  <c r="E39" i="51"/>
  <c r="E168" i="51"/>
  <c r="E82" i="51"/>
  <c r="E125" i="51"/>
  <c r="E116" i="51"/>
  <c r="E159" i="51"/>
  <c r="E30" i="51"/>
  <c r="E202" i="51"/>
  <c r="E245" i="51"/>
  <c r="E73" i="51"/>
  <c r="E115" i="51"/>
  <c r="E158" i="51"/>
  <c r="E29" i="51"/>
  <c r="E244" i="51"/>
  <c r="E201" i="51"/>
  <c r="E72" i="51"/>
  <c r="E132" i="51"/>
  <c r="E89" i="51"/>
  <c r="E261" i="51"/>
  <c r="E218" i="51"/>
  <c r="E175" i="51"/>
  <c r="E46" i="51"/>
  <c r="E220" i="51"/>
  <c r="E91" i="51"/>
  <c r="E177" i="51"/>
  <c r="E48" i="51"/>
  <c r="E263" i="51"/>
  <c r="E134" i="51"/>
  <c r="E219" i="51"/>
  <c r="E90" i="51"/>
  <c r="E47" i="51"/>
  <c r="E262" i="51"/>
  <c r="E176" i="51"/>
  <c r="E133" i="51"/>
  <c r="E131" i="51"/>
  <c r="E88" i="51"/>
  <c r="E217" i="51"/>
  <c r="E45" i="51"/>
  <c r="E174" i="51"/>
  <c r="E260" i="51"/>
  <c r="E259" i="51"/>
  <c r="E216" i="51"/>
  <c r="E130" i="51"/>
  <c r="E87" i="51"/>
  <c r="E173" i="51"/>
  <c r="E44" i="51"/>
  <c r="E215" i="51"/>
  <c r="E258" i="51"/>
  <c r="E129" i="51"/>
  <c r="E43" i="51"/>
  <c r="E172" i="51"/>
  <c r="E86" i="51"/>
  <c r="E128" i="51"/>
  <c r="E171" i="51"/>
  <c r="E257" i="51"/>
  <c r="E42" i="51"/>
  <c r="E214" i="51"/>
  <c r="E85" i="51"/>
  <c r="E207" i="51"/>
  <c r="E78" i="51"/>
  <c r="E250" i="51"/>
  <c r="E121" i="51"/>
  <c r="E35" i="51"/>
  <c r="E164" i="51"/>
  <c r="E84" i="51"/>
  <c r="E41" i="51"/>
  <c r="E256" i="51"/>
  <c r="E127" i="51"/>
  <c r="E213" i="51"/>
  <c r="E170" i="51"/>
  <c r="E40" i="51"/>
  <c r="E255" i="51"/>
  <c r="E169" i="51"/>
  <c r="E83" i="51"/>
  <c r="E126" i="51"/>
  <c r="E212" i="51"/>
  <c r="D51" i="49" l="1"/>
  <c r="D296" i="51"/>
  <c r="D37" i="81" s="1"/>
  <c r="D297" i="51"/>
  <c r="D38" i="81" s="1"/>
  <c r="D298" i="51"/>
  <c r="D39" i="81" s="1"/>
  <c r="D299" i="51"/>
  <c r="D40" i="81" s="1"/>
  <c r="D300" i="51"/>
  <c r="D41" i="81" s="1"/>
  <c r="D295" i="51"/>
  <c r="D36" i="81" s="1"/>
  <c r="D285" i="51"/>
  <c r="D26" i="81" s="1"/>
  <c r="D286" i="51"/>
  <c r="D27" i="81" s="1"/>
  <c r="D287" i="51"/>
  <c r="D28" i="81" s="1"/>
  <c r="D288" i="51"/>
  <c r="D29" i="81" s="1"/>
  <c r="D289" i="51"/>
  <c r="D30" i="81" s="1"/>
  <c r="D284" i="51"/>
  <c r="D25" i="81" s="1"/>
  <c r="B282" i="51"/>
  <c r="B23" i="81" s="1"/>
  <c r="B271" i="51"/>
  <c r="B12" i="81" s="1"/>
  <c r="D274" i="51"/>
  <c r="D15" i="81" s="1"/>
  <c r="D275" i="51"/>
  <c r="D16" i="81" s="1"/>
  <c r="D276" i="51"/>
  <c r="D17" i="81" s="1"/>
  <c r="D277" i="51"/>
  <c r="D18" i="81" s="1"/>
  <c r="D278" i="51"/>
  <c r="D19" i="81" s="1"/>
  <c r="D273" i="51"/>
  <c r="D14" i="81" s="1"/>
  <c r="B227" i="51"/>
  <c r="B238" i="51" s="1"/>
  <c r="E268" i="51"/>
  <c r="E267" i="51"/>
  <c r="B236" i="51"/>
  <c r="B235" i="51"/>
  <c r="B234" i="51"/>
  <c r="B233" i="51"/>
  <c r="B232" i="51"/>
  <c r="B231" i="51"/>
  <c r="B184" i="51"/>
  <c r="B195" i="51" s="1"/>
  <c r="E225" i="51"/>
  <c r="E224" i="51"/>
  <c r="B193" i="51"/>
  <c r="B192" i="51"/>
  <c r="B191" i="51"/>
  <c r="B190" i="51"/>
  <c r="B189" i="51"/>
  <c r="B188" i="51"/>
  <c r="B141" i="51"/>
  <c r="B152" i="51" s="1"/>
  <c r="E182" i="51"/>
  <c r="E181" i="51"/>
  <c r="B150" i="51"/>
  <c r="B149" i="51"/>
  <c r="B148" i="51"/>
  <c r="B147" i="51"/>
  <c r="B146" i="51"/>
  <c r="B145" i="51"/>
  <c r="B98" i="51"/>
  <c r="B109" i="51" s="1"/>
  <c r="E139" i="51"/>
  <c r="E138" i="51"/>
  <c r="B107" i="51"/>
  <c r="B106" i="51"/>
  <c r="B105" i="51"/>
  <c r="B104" i="51"/>
  <c r="B103" i="51"/>
  <c r="B102" i="51"/>
  <c r="B64" i="51"/>
  <c r="B63" i="51"/>
  <c r="B62" i="51"/>
  <c r="B61" i="51"/>
  <c r="B60" i="51"/>
  <c r="B59" i="51"/>
  <c r="B12" i="51"/>
  <c r="A91" i="51" s="1"/>
  <c r="B55" i="51"/>
  <c r="B66" i="51" s="1"/>
  <c r="E96" i="51"/>
  <c r="E95" i="51"/>
  <c r="E53" i="51"/>
  <c r="E52" i="51"/>
  <c r="B49" i="51"/>
  <c r="B43" i="51"/>
  <c r="B44" i="51"/>
  <c r="B45" i="51"/>
  <c r="B46" i="51"/>
  <c r="B47" i="51"/>
  <c r="B48" i="51"/>
  <c r="B26" i="51"/>
  <c r="B27" i="51"/>
  <c r="B28" i="51"/>
  <c r="B29" i="51"/>
  <c r="B30" i="51"/>
  <c r="B31" i="51"/>
  <c r="B32" i="51"/>
  <c r="B33" i="51"/>
  <c r="B34" i="51"/>
  <c r="B35" i="51"/>
  <c r="B36" i="51"/>
  <c r="B37" i="51"/>
  <c r="B38" i="51"/>
  <c r="B39" i="51"/>
  <c r="B40" i="51"/>
  <c r="B41" i="51"/>
  <c r="B42" i="51"/>
  <c r="G15" i="49"/>
  <c r="C26" i="46" s="1"/>
  <c r="C49" i="69"/>
  <c r="C48" i="69"/>
  <c r="C47" i="69"/>
  <c r="C46" i="69"/>
  <c r="C45" i="69"/>
  <c r="C44" i="69"/>
  <c r="C43" i="69"/>
  <c r="C42" i="69"/>
  <c r="C41" i="69"/>
  <c r="C40" i="69"/>
  <c r="B32" i="69"/>
  <c r="B31" i="69"/>
  <c r="B30" i="69"/>
  <c r="B29" i="69"/>
  <c r="B28" i="69"/>
  <c r="B27" i="69"/>
  <c r="B21" i="69"/>
  <c r="B112" i="69" s="1"/>
  <c r="B20" i="69"/>
  <c r="B97" i="69" s="1"/>
  <c r="B19" i="69"/>
  <c r="B82" i="69" s="1"/>
  <c r="B18" i="69"/>
  <c r="B67" i="69" s="1"/>
  <c r="B17" i="69"/>
  <c r="B52" i="69" s="1"/>
  <c r="B16" i="69"/>
  <c r="B37" i="69" s="1"/>
  <c r="L3" i="69"/>
  <c r="L37" i="69" s="1"/>
  <c r="L52" i="69" s="1"/>
  <c r="L67" i="69" s="1"/>
  <c r="L82" i="69" s="1"/>
  <c r="L97" i="69" s="1"/>
  <c r="L112" i="69" s="1"/>
  <c r="K3" i="69"/>
  <c r="K37" i="69" s="1"/>
  <c r="K52" i="69" s="1"/>
  <c r="K67" i="69" s="1"/>
  <c r="K82" i="69" s="1"/>
  <c r="K97" i="69" s="1"/>
  <c r="K112" i="69" s="1"/>
  <c r="J3" i="69"/>
  <c r="J37" i="69" s="1"/>
  <c r="J52" i="69" s="1"/>
  <c r="J67" i="69" s="1"/>
  <c r="J82" i="69" s="1"/>
  <c r="J97" i="69" s="1"/>
  <c r="J112" i="69" s="1"/>
  <c r="I3" i="69"/>
  <c r="I37" i="69" s="1"/>
  <c r="I52" i="69" s="1"/>
  <c r="I67" i="69" s="1"/>
  <c r="I82" i="69" s="1"/>
  <c r="I97" i="69" s="1"/>
  <c r="I112" i="69" s="1"/>
  <c r="B3" i="69"/>
  <c r="B2" i="69"/>
  <c r="C41" i="43"/>
  <c r="C42" i="43"/>
  <c r="C43" i="43"/>
  <c r="C44" i="43"/>
  <c r="C45" i="43"/>
  <c r="C46" i="43"/>
  <c r="C47" i="43"/>
  <c r="C48" i="43"/>
  <c r="C49" i="43"/>
  <c r="C40" i="43"/>
  <c r="B31" i="43"/>
  <c r="H86" i="29"/>
  <c r="H108" i="29" s="1"/>
  <c r="I86" i="29"/>
  <c r="I108" i="29" s="1"/>
  <c r="J86" i="29"/>
  <c r="J108" i="29" s="1"/>
  <c r="G86" i="29"/>
  <c r="G108" i="29" s="1"/>
  <c r="I90" i="29"/>
  <c r="J90" i="29"/>
  <c r="H91" i="29"/>
  <c r="I91" i="29"/>
  <c r="J91" i="29"/>
  <c r="H92" i="29"/>
  <c r="I92" i="29"/>
  <c r="J92" i="29"/>
  <c r="H93" i="29"/>
  <c r="I93" i="29"/>
  <c r="J93" i="29"/>
  <c r="H94" i="29"/>
  <c r="I94" i="29"/>
  <c r="J94" i="29"/>
  <c r="H95" i="29"/>
  <c r="I95" i="29"/>
  <c r="J95" i="29"/>
  <c r="J105" i="29" s="1"/>
  <c r="J132" i="29" s="1"/>
  <c r="G91" i="29"/>
  <c r="G92" i="29"/>
  <c r="G93" i="29"/>
  <c r="G94" i="29"/>
  <c r="G90" i="29"/>
  <c r="B112" i="29"/>
  <c r="B116" i="29" s="1"/>
  <c r="B120" i="29" s="1"/>
  <c r="B124" i="29" s="1"/>
  <c r="B128" i="29" s="1"/>
  <c r="B132" i="29" s="1"/>
  <c r="B105" i="29"/>
  <c r="B129" i="29" s="1"/>
  <c r="B104" i="29"/>
  <c r="B125" i="29" s="1"/>
  <c r="B103" i="29"/>
  <c r="B121" i="29" s="1"/>
  <c r="B102" i="29"/>
  <c r="B117" i="29" s="1"/>
  <c r="B101" i="29"/>
  <c r="B113" i="29" s="1"/>
  <c r="B100" i="29"/>
  <c r="B109" i="29" s="1"/>
  <c r="B95" i="29"/>
  <c r="B94" i="29"/>
  <c r="B93" i="29"/>
  <c r="B92" i="29"/>
  <c r="B91" i="29"/>
  <c r="B90" i="29"/>
  <c r="H62" i="29"/>
  <c r="I62" i="29"/>
  <c r="J62" i="29"/>
  <c r="G62" i="29"/>
  <c r="H66" i="29"/>
  <c r="H76" i="29" s="1"/>
  <c r="H111" i="29" s="1"/>
  <c r="I66" i="29"/>
  <c r="I76" i="29" s="1"/>
  <c r="I111" i="29" s="1"/>
  <c r="J66" i="29"/>
  <c r="H67" i="29"/>
  <c r="H77" i="29" s="1"/>
  <c r="H115" i="29" s="1"/>
  <c r="I67" i="29"/>
  <c r="I77" i="29" s="1"/>
  <c r="I115" i="29" s="1"/>
  <c r="J67" i="29"/>
  <c r="H68" i="29"/>
  <c r="H78" i="29" s="1"/>
  <c r="H119" i="29" s="1"/>
  <c r="I68" i="29"/>
  <c r="I78" i="29" s="1"/>
  <c r="I119" i="29" s="1"/>
  <c r="J68" i="29"/>
  <c r="H69" i="29"/>
  <c r="I69" i="29"/>
  <c r="J69" i="29"/>
  <c r="H70" i="29"/>
  <c r="I70" i="29"/>
  <c r="J70" i="29"/>
  <c r="H71" i="29"/>
  <c r="I71" i="29"/>
  <c r="J71" i="29"/>
  <c r="G67" i="29"/>
  <c r="G77" i="29" s="1"/>
  <c r="G115" i="29" s="1"/>
  <c r="G68" i="29"/>
  <c r="G78" i="29" s="1"/>
  <c r="G119" i="29" s="1"/>
  <c r="G69" i="29"/>
  <c r="G70" i="29"/>
  <c r="G71" i="29"/>
  <c r="G76" i="29"/>
  <c r="G111" i="29" s="1"/>
  <c r="B111" i="29"/>
  <c r="B115" i="29" s="1"/>
  <c r="B119" i="29" s="1"/>
  <c r="B123" i="29" s="1"/>
  <c r="B127" i="29" s="1"/>
  <c r="B131" i="29" s="1"/>
  <c r="B81" i="29"/>
  <c r="B80" i="29"/>
  <c r="B79" i="29"/>
  <c r="B78" i="29"/>
  <c r="B77" i="29"/>
  <c r="B76" i="29"/>
  <c r="B71" i="29"/>
  <c r="B70" i="29"/>
  <c r="B69" i="29"/>
  <c r="B68" i="29"/>
  <c r="B67" i="29"/>
  <c r="B66" i="29"/>
  <c r="I42" i="29"/>
  <c r="J42" i="29"/>
  <c r="H43" i="29"/>
  <c r="I43" i="29"/>
  <c r="J43" i="29"/>
  <c r="H44" i="29"/>
  <c r="I44" i="29"/>
  <c r="J44" i="29"/>
  <c r="H45" i="29"/>
  <c r="I45" i="29"/>
  <c r="J45" i="29"/>
  <c r="H46" i="29"/>
  <c r="I46" i="29"/>
  <c r="J46" i="29"/>
  <c r="H47" i="29"/>
  <c r="I47" i="29"/>
  <c r="J47" i="29"/>
  <c r="G43" i="29"/>
  <c r="G44" i="29"/>
  <c r="G45" i="29"/>
  <c r="G46" i="29"/>
  <c r="G47" i="29"/>
  <c r="H38" i="29"/>
  <c r="I38" i="29"/>
  <c r="J38" i="29"/>
  <c r="G38" i="29"/>
  <c r="B110" i="29"/>
  <c r="B57" i="29"/>
  <c r="B56" i="29"/>
  <c r="B55" i="29"/>
  <c r="B54" i="29"/>
  <c r="B53" i="29"/>
  <c r="B52" i="29"/>
  <c r="B47" i="29"/>
  <c r="B46" i="29"/>
  <c r="B45" i="29"/>
  <c r="B44" i="29"/>
  <c r="B43" i="29"/>
  <c r="B42" i="29"/>
  <c r="E29" i="29"/>
  <c r="B32" i="29"/>
  <c r="B33" i="29"/>
  <c r="B34" i="29"/>
  <c r="B35" i="29"/>
  <c r="B36" i="29"/>
  <c r="B31" i="29"/>
  <c r="J33" i="49" l="1"/>
  <c r="J40" i="49"/>
  <c r="D52" i="49"/>
  <c r="J23" i="49"/>
  <c r="J25" i="49"/>
  <c r="J26" i="49"/>
  <c r="J24" i="49"/>
  <c r="C58" i="43"/>
  <c r="C58" i="69"/>
  <c r="C73" i="69" s="1"/>
  <c r="C55" i="43"/>
  <c r="I40" i="43" a="1"/>
  <c r="I40" i="43" s="1"/>
  <c r="I49" i="43" a="1"/>
  <c r="I49" i="43" s="1"/>
  <c r="C60" i="69"/>
  <c r="C57" i="43"/>
  <c r="C63" i="43"/>
  <c r="C61" i="69"/>
  <c r="H96" i="29"/>
  <c r="H101" i="29" s="1"/>
  <c r="H116" i="29" s="1"/>
  <c r="C62" i="43"/>
  <c r="C62" i="69"/>
  <c r="A90" i="51"/>
  <c r="C61" i="43"/>
  <c r="K40" i="69" a="1"/>
  <c r="K40" i="69" s="1"/>
  <c r="J40" i="69" a="1"/>
  <c r="J40" i="69" s="1"/>
  <c r="I40" i="69" a="1"/>
  <c r="I40" i="69" s="1"/>
  <c r="C56" i="69"/>
  <c r="I41" i="69" a="1"/>
  <c r="I41" i="69" s="1"/>
  <c r="J41" i="69" a="1"/>
  <c r="J41" i="69" s="1"/>
  <c r="K41" i="69" a="1"/>
  <c r="K41" i="69" s="1"/>
  <c r="C64" i="69"/>
  <c r="C79" i="69" s="1"/>
  <c r="K49" i="69" a="1"/>
  <c r="K49" i="69" s="1"/>
  <c r="J49" i="69" a="1"/>
  <c r="J49" i="69" s="1"/>
  <c r="I49" i="69" a="1"/>
  <c r="I49" i="69" s="1"/>
  <c r="H48" i="29"/>
  <c r="C59" i="43"/>
  <c r="C57" i="69"/>
  <c r="D94" i="29"/>
  <c r="D91" i="29"/>
  <c r="D92" i="29"/>
  <c r="B114" i="29"/>
  <c r="D47" i="29"/>
  <c r="D43" i="29"/>
  <c r="D45" i="29"/>
  <c r="A241" i="51"/>
  <c r="I96" i="29"/>
  <c r="I101" i="29" s="1"/>
  <c r="I116" i="29" s="1"/>
  <c r="J96" i="29"/>
  <c r="J101" i="29" s="1"/>
  <c r="J116" i="29" s="1"/>
  <c r="B71" i="51"/>
  <c r="A112" i="51"/>
  <c r="B87" i="51"/>
  <c r="A69" i="51"/>
  <c r="B83" i="51"/>
  <c r="A198" i="51"/>
  <c r="B79" i="51"/>
  <c r="A154" i="51"/>
  <c r="B91" i="51"/>
  <c r="B75" i="51"/>
  <c r="A156" i="51"/>
  <c r="B85" i="51"/>
  <c r="B81" i="51"/>
  <c r="B77" i="51"/>
  <c r="B73" i="51"/>
  <c r="B69" i="51"/>
  <c r="B88" i="51"/>
  <c r="B90" i="51"/>
  <c r="B86" i="51"/>
  <c r="B82" i="51"/>
  <c r="B78" i="51"/>
  <c r="B74" i="51"/>
  <c r="B70" i="51"/>
  <c r="A174" i="51"/>
  <c r="A175" i="51"/>
  <c r="A176" i="51"/>
  <c r="A177" i="51"/>
  <c r="A178" i="51"/>
  <c r="A217" i="51"/>
  <c r="A219" i="51"/>
  <c r="A221" i="51"/>
  <c r="A240" i="51"/>
  <c r="A261" i="51"/>
  <c r="A263" i="51"/>
  <c r="B89" i="51"/>
  <c r="A111" i="51"/>
  <c r="A113" i="51"/>
  <c r="A155" i="51"/>
  <c r="A197" i="51"/>
  <c r="A199" i="51"/>
  <c r="B92" i="51"/>
  <c r="B84" i="51"/>
  <c r="B80" i="51"/>
  <c r="B76" i="51"/>
  <c r="B72" i="51"/>
  <c r="A131" i="51"/>
  <c r="A132" i="51"/>
  <c r="A133" i="51"/>
  <c r="A134" i="51"/>
  <c r="A135" i="51"/>
  <c r="A218" i="51"/>
  <c r="A220" i="51"/>
  <c r="A242" i="51"/>
  <c r="A260" i="51"/>
  <c r="A262" i="51"/>
  <c r="A264" i="51"/>
  <c r="A89" i="51"/>
  <c r="A68" i="51"/>
  <c r="A70" i="51"/>
  <c r="A88" i="51"/>
  <c r="A92" i="51"/>
  <c r="I48" i="29"/>
  <c r="C75" i="69"/>
  <c r="C77" i="69"/>
  <c r="C63" i="69"/>
  <c r="C59" i="69"/>
  <c r="C71" i="69"/>
  <c r="C55" i="69"/>
  <c r="C76" i="69"/>
  <c r="C64" i="43"/>
  <c r="C60" i="43"/>
  <c r="C56" i="43"/>
  <c r="J48" i="29"/>
  <c r="D42" i="29"/>
  <c r="D90" i="29"/>
  <c r="G96" i="29"/>
  <c r="G105" i="29" s="1"/>
  <c r="G132" i="29" s="1"/>
  <c r="D93" i="29"/>
  <c r="D95" i="29"/>
  <c r="D68" i="29"/>
  <c r="H72" i="29"/>
  <c r="H80" i="29" s="1"/>
  <c r="H127" i="29" s="1"/>
  <c r="D70" i="29"/>
  <c r="G72" i="29"/>
  <c r="G81" i="29" s="1"/>
  <c r="G131" i="29" s="1"/>
  <c r="D67" i="29"/>
  <c r="D69" i="29"/>
  <c r="D71" i="29"/>
  <c r="I72" i="29"/>
  <c r="I81" i="29" s="1"/>
  <c r="I131" i="29" s="1"/>
  <c r="J72" i="29"/>
  <c r="D66" i="29"/>
  <c r="D44" i="29"/>
  <c r="D46" i="29"/>
  <c r="G48" i="29"/>
  <c r="J38" i="49" l="1"/>
  <c r="J39" i="49"/>
  <c r="J18" i="49"/>
  <c r="J17" i="49"/>
  <c r="J20" i="49"/>
  <c r="J21" i="49"/>
  <c r="J19" i="49"/>
  <c r="J22" i="49"/>
  <c r="J32" i="49"/>
  <c r="J100" i="29"/>
  <c r="J104" i="29"/>
  <c r="J128" i="29" s="1"/>
  <c r="J103" i="29"/>
  <c r="J124" i="29" s="1"/>
  <c r="I55" i="69" a="1"/>
  <c r="I55" i="69" s="1"/>
  <c r="K55" i="69" a="1"/>
  <c r="K55" i="69" s="1"/>
  <c r="J55" i="69" a="1"/>
  <c r="J55" i="69" s="1"/>
  <c r="J64" i="69" a="1"/>
  <c r="J64" i="69" s="1"/>
  <c r="I64" i="69" a="1"/>
  <c r="I64" i="69" s="1"/>
  <c r="K64" i="69" a="1"/>
  <c r="K64" i="69" s="1"/>
  <c r="C78" i="43"/>
  <c r="L63" i="43" a="1"/>
  <c r="L63" i="43" s="1"/>
  <c r="D48" i="29"/>
  <c r="D58" i="29" s="1"/>
  <c r="I71" i="69" a="1"/>
  <c r="I71" i="69" s="1"/>
  <c r="C74" i="43"/>
  <c r="C70" i="43"/>
  <c r="I55" i="43" a="1"/>
  <c r="I55" i="43" s="1"/>
  <c r="J112" i="29"/>
  <c r="C76" i="43"/>
  <c r="C71" i="43"/>
  <c r="K63" i="69" a="1"/>
  <c r="K63" i="69" s="1"/>
  <c r="J63" i="69" a="1"/>
  <c r="J63" i="69" s="1"/>
  <c r="L63" i="69" a="1"/>
  <c r="L63" i="69" s="1"/>
  <c r="G100" i="29"/>
  <c r="C77" i="43"/>
  <c r="C75" i="43"/>
  <c r="C72" i="69"/>
  <c r="K56" i="69" a="1"/>
  <c r="K56" i="69" s="1"/>
  <c r="I56" i="69" a="1"/>
  <c r="I56" i="69" s="1"/>
  <c r="J56" i="69" a="1"/>
  <c r="J56" i="69" s="1"/>
  <c r="C72" i="43"/>
  <c r="C79" i="43"/>
  <c r="C94" i="43" s="1"/>
  <c r="I64" i="43" a="1"/>
  <c r="I64" i="43" s="1"/>
  <c r="C73" i="43"/>
  <c r="J102" i="29"/>
  <c r="J120" i="29" s="1"/>
  <c r="B114" i="51"/>
  <c r="B157" i="51" s="1"/>
  <c r="B122" i="51"/>
  <c r="B126" i="51"/>
  <c r="B118" i="51"/>
  <c r="B161" i="51" s="1"/>
  <c r="G104" i="29"/>
  <c r="G128" i="29" s="1"/>
  <c r="H102" i="29"/>
  <c r="H120" i="29" s="1"/>
  <c r="H105" i="29"/>
  <c r="H132" i="29" s="1"/>
  <c r="G80" i="29"/>
  <c r="G127" i="29" s="1"/>
  <c r="G103" i="29"/>
  <c r="G124" i="29" s="1"/>
  <c r="I102" i="29"/>
  <c r="I120" i="29" s="1"/>
  <c r="H100" i="29"/>
  <c r="I103" i="29"/>
  <c r="I124" i="29" s="1"/>
  <c r="G102" i="29"/>
  <c r="G120" i="29" s="1"/>
  <c r="B118" i="29"/>
  <c r="J79" i="69" s="1" a="1"/>
  <c r="J79" i="69" s="1"/>
  <c r="I100" i="29"/>
  <c r="G101" i="29"/>
  <c r="G116" i="29" s="1"/>
  <c r="I63" i="69" s="1" a="1"/>
  <c r="I63" i="69" s="1"/>
  <c r="H103" i="29"/>
  <c r="H124" i="29" s="1"/>
  <c r="H79" i="29"/>
  <c r="G79" i="29"/>
  <c r="G123" i="29" s="1"/>
  <c r="H104" i="29"/>
  <c r="H128" i="29" s="1"/>
  <c r="H81" i="29"/>
  <c r="H131" i="29" s="1"/>
  <c r="I79" i="29"/>
  <c r="I104" i="29"/>
  <c r="I128" i="29" s="1"/>
  <c r="I80" i="29"/>
  <c r="I127" i="29" s="1"/>
  <c r="I105" i="29"/>
  <c r="I132" i="29" s="1"/>
  <c r="B134" i="51"/>
  <c r="B177" i="51" s="1"/>
  <c r="B130" i="51"/>
  <c r="B119" i="51"/>
  <c r="B123" i="51"/>
  <c r="B132" i="51"/>
  <c r="B113" i="51"/>
  <c r="B129" i="51"/>
  <c r="B125" i="51"/>
  <c r="B131" i="51"/>
  <c r="B116" i="51"/>
  <c r="B124" i="51"/>
  <c r="B127" i="51"/>
  <c r="B117" i="51"/>
  <c r="B133" i="51"/>
  <c r="B112" i="51"/>
  <c r="B120" i="51"/>
  <c r="B128" i="51"/>
  <c r="B115" i="51"/>
  <c r="B135" i="51"/>
  <c r="B121" i="51"/>
  <c r="J53" i="29"/>
  <c r="J114" i="29" s="1"/>
  <c r="L59" i="43" s="1" a="1"/>
  <c r="L59" i="43" s="1"/>
  <c r="J57" i="29"/>
  <c r="J130" i="29" s="1"/>
  <c r="J54" i="29"/>
  <c r="J118" i="29" s="1"/>
  <c r="J52" i="29"/>
  <c r="J55" i="29"/>
  <c r="J122" i="29" s="1"/>
  <c r="J56" i="29"/>
  <c r="J126" i="29" s="1"/>
  <c r="I52" i="29"/>
  <c r="I54" i="29"/>
  <c r="I118" i="29" s="1"/>
  <c r="I56" i="29"/>
  <c r="I126" i="29" s="1"/>
  <c r="I53" i="29"/>
  <c r="I114" i="29" s="1"/>
  <c r="K62" i="69" s="1" a="1"/>
  <c r="K62" i="69" s="1"/>
  <c r="I57" i="29"/>
  <c r="I130" i="29" s="1"/>
  <c r="G54" i="29"/>
  <c r="G118" i="29" s="1"/>
  <c r="G52" i="29"/>
  <c r="G53" i="29"/>
  <c r="G114" i="29" s="1"/>
  <c r="I62" i="69" s="1" a="1"/>
  <c r="I62" i="69" s="1"/>
  <c r="G57" i="29"/>
  <c r="G130" i="29" s="1"/>
  <c r="G56" i="29"/>
  <c r="G126" i="29" s="1"/>
  <c r="D52" i="29"/>
  <c r="H53" i="29"/>
  <c r="H114" i="29" s="1"/>
  <c r="H57" i="29"/>
  <c r="H130" i="29" s="1"/>
  <c r="H54" i="29"/>
  <c r="H118" i="29" s="1"/>
  <c r="J77" i="69" s="1" a="1"/>
  <c r="J77" i="69" s="1"/>
  <c r="H55" i="29"/>
  <c r="H122" i="29" s="1"/>
  <c r="H52" i="29"/>
  <c r="H56" i="29"/>
  <c r="H126" i="29" s="1"/>
  <c r="I55" i="29"/>
  <c r="I122" i="29" s="1"/>
  <c r="G55" i="29"/>
  <c r="G122" i="29" s="1"/>
  <c r="C74" i="69"/>
  <c r="C70" i="69"/>
  <c r="C92" i="69"/>
  <c r="C91" i="69"/>
  <c r="C94" i="69"/>
  <c r="C86" i="69"/>
  <c r="C78" i="69"/>
  <c r="C88" i="69"/>
  <c r="C90" i="69"/>
  <c r="C86" i="43"/>
  <c r="D72" i="29"/>
  <c r="I73" i="29" s="1"/>
  <c r="D96" i="29"/>
  <c r="D100" i="29" s="1"/>
  <c r="L77" i="69" l="1" a="1"/>
  <c r="L77" i="69" s="1"/>
  <c r="I79" i="69" a="1"/>
  <c r="I79" i="69" s="1"/>
  <c r="I63" i="43" a="1"/>
  <c r="I63" i="43" s="1"/>
  <c r="I106" i="29"/>
  <c r="I62" i="43" a="1"/>
  <c r="I62" i="43" s="1"/>
  <c r="C91" i="43"/>
  <c r="L74" i="43" a="1"/>
  <c r="L74" i="43" s="1"/>
  <c r="C89" i="43"/>
  <c r="J78" i="69" a="1"/>
  <c r="J78" i="69" s="1"/>
  <c r="L78" i="69" a="1"/>
  <c r="L78" i="69" s="1"/>
  <c r="K78" i="69" a="1"/>
  <c r="K78" i="69" s="1"/>
  <c r="I78" i="69" a="1"/>
  <c r="I78" i="69" s="1"/>
  <c r="I77" i="69" a="1"/>
  <c r="I77" i="69" s="1"/>
  <c r="I77" i="43" a="1"/>
  <c r="I77" i="43" s="1"/>
  <c r="L77" i="43" a="1"/>
  <c r="L77" i="43" s="1"/>
  <c r="C92" i="43"/>
  <c r="J106" i="29"/>
  <c r="L61" i="69" a="1"/>
  <c r="L61" i="69" s="1"/>
  <c r="J71" i="69" a="1"/>
  <c r="J71" i="69" s="1"/>
  <c r="L57" i="43" a="1"/>
  <c r="L57" i="43" s="1"/>
  <c r="L57" i="69" a="1"/>
  <c r="L57" i="69" s="1"/>
  <c r="K77" i="69" a="1"/>
  <c r="K77" i="69" s="1"/>
  <c r="K71" i="69" a="1"/>
  <c r="K71" i="69" s="1"/>
  <c r="L78" i="43" a="1"/>
  <c r="L78" i="43" s="1"/>
  <c r="I78" i="43" a="1"/>
  <c r="I78" i="43" s="1"/>
  <c r="C93" i="43"/>
  <c r="C88" i="43"/>
  <c r="I57" i="69" a="1"/>
  <c r="I57" i="69" s="1"/>
  <c r="L76" i="69" a="1"/>
  <c r="L76" i="69" s="1"/>
  <c r="J62" i="69" a="1"/>
  <c r="J62" i="69" s="1"/>
  <c r="C109" i="43"/>
  <c r="I92" i="69" a="1"/>
  <c r="I92" i="69" s="1"/>
  <c r="K79" i="69" a="1"/>
  <c r="K79" i="69" s="1"/>
  <c r="I79" i="43" a="1"/>
  <c r="I79" i="43" s="1"/>
  <c r="K57" i="69" a="1"/>
  <c r="K57" i="69" s="1"/>
  <c r="L62" i="69" a="1"/>
  <c r="L62" i="69" s="1"/>
  <c r="C101" i="43"/>
  <c r="I70" i="69" a="1"/>
  <c r="I70" i="69" s="1"/>
  <c r="J70" i="69" a="1"/>
  <c r="J70" i="69" s="1"/>
  <c r="K70" i="69" a="1"/>
  <c r="K70" i="69" s="1"/>
  <c r="L72" i="43" a="1"/>
  <c r="L72" i="43" s="1"/>
  <c r="C87" i="43"/>
  <c r="J57" i="69" a="1"/>
  <c r="J57" i="69" s="1"/>
  <c r="L62" i="43" a="1"/>
  <c r="L62" i="43" s="1"/>
  <c r="L48" i="69" a="1"/>
  <c r="L48" i="69" s="1"/>
  <c r="L48" i="43" a="1"/>
  <c r="L48" i="43" s="1"/>
  <c r="C90" i="43"/>
  <c r="L74" i="69" a="1"/>
  <c r="L74" i="69" s="1"/>
  <c r="J136" i="29"/>
  <c r="L59" i="69" a="1"/>
  <c r="L59" i="69" s="1"/>
  <c r="K72" i="69" a="1"/>
  <c r="K72" i="69" s="1"/>
  <c r="J72" i="69" a="1"/>
  <c r="J72" i="69" s="1"/>
  <c r="L72" i="69" a="1"/>
  <c r="L72" i="69" s="1"/>
  <c r="I72" i="69" a="1"/>
  <c r="I72" i="69" s="1"/>
  <c r="C87" i="69"/>
  <c r="I70" i="43" a="1"/>
  <c r="I70" i="43" s="1"/>
  <c r="C85" i="43"/>
  <c r="G49" i="29"/>
  <c r="B165" i="51"/>
  <c r="D53" i="29"/>
  <c r="B173" i="51"/>
  <c r="J49" i="29"/>
  <c r="D55" i="29"/>
  <c r="B169" i="51"/>
  <c r="I49" i="29"/>
  <c r="D57" i="29"/>
  <c r="D54" i="29"/>
  <c r="H49" i="29"/>
  <c r="D56" i="29"/>
  <c r="G135" i="29"/>
  <c r="D76" i="29"/>
  <c r="J73" i="29"/>
  <c r="J81" i="29" s="1"/>
  <c r="J131" i="29" s="1"/>
  <c r="G82" i="29"/>
  <c r="H73" i="29"/>
  <c r="G73" i="29"/>
  <c r="G112" i="29"/>
  <c r="G106" i="29"/>
  <c r="B122" i="29"/>
  <c r="H112" i="29"/>
  <c r="H106" i="29"/>
  <c r="I123" i="29"/>
  <c r="I135" i="29" s="1"/>
  <c r="I82" i="29"/>
  <c r="H123" i="29"/>
  <c r="H135" i="29" s="1"/>
  <c r="H82" i="29"/>
  <c r="I112" i="29"/>
  <c r="B164" i="51"/>
  <c r="B158" i="51"/>
  <c r="B171" i="51"/>
  <c r="B155" i="51"/>
  <c r="B160" i="51"/>
  <c r="B200" i="51"/>
  <c r="B220" i="51"/>
  <c r="B159" i="51"/>
  <c r="B204" i="51"/>
  <c r="B156" i="51"/>
  <c r="B166" i="51"/>
  <c r="B178" i="51"/>
  <c r="B163" i="51"/>
  <c r="B176" i="51"/>
  <c r="B170" i="51"/>
  <c r="B168" i="51"/>
  <c r="B172" i="51"/>
  <c r="B175" i="51"/>
  <c r="B162" i="51"/>
  <c r="B167" i="51"/>
  <c r="B174" i="51"/>
  <c r="I110" i="29"/>
  <c r="I58" i="29"/>
  <c r="H110" i="29"/>
  <c r="H58" i="29"/>
  <c r="J110" i="29"/>
  <c r="J58" i="29"/>
  <c r="G110" i="29"/>
  <c r="G58" i="29"/>
  <c r="C101" i="69"/>
  <c r="C105" i="69"/>
  <c r="C103" i="69"/>
  <c r="C93" i="69"/>
  <c r="F63" i="69"/>
  <c r="C109" i="69"/>
  <c r="C106" i="69"/>
  <c r="C107" i="69"/>
  <c r="C89" i="69"/>
  <c r="C85" i="69"/>
  <c r="C116" i="43"/>
  <c r="D103" i="29"/>
  <c r="D104" i="29"/>
  <c r="D102" i="29"/>
  <c r="D101" i="29"/>
  <c r="D105" i="29"/>
  <c r="D106" i="29"/>
  <c r="D78" i="29"/>
  <c r="D82" i="29"/>
  <c r="D79" i="29"/>
  <c r="D77" i="29"/>
  <c r="D81" i="29"/>
  <c r="D80" i="29"/>
  <c r="I97" i="29"/>
  <c r="G97" i="29"/>
  <c r="J97" i="29"/>
  <c r="H97" i="29"/>
  <c r="K86" i="69" l="1" a="1"/>
  <c r="K86" i="69" s="1"/>
  <c r="J86" i="69" a="1"/>
  <c r="J86" i="69" s="1"/>
  <c r="J93" i="69" a="1"/>
  <c r="J93" i="69" s="1"/>
  <c r="L93" i="69" a="1"/>
  <c r="L93" i="69" s="1"/>
  <c r="K93" i="69" a="1"/>
  <c r="K93" i="69" s="1"/>
  <c r="I93" i="69" a="1"/>
  <c r="I93" i="69" s="1"/>
  <c r="J92" i="69" a="1"/>
  <c r="J92" i="69" s="1"/>
  <c r="C103" i="43"/>
  <c r="J48" i="69" a="1"/>
  <c r="J48" i="69" s="1"/>
  <c r="K92" i="69" a="1"/>
  <c r="K92" i="69" s="1"/>
  <c r="C106" i="43"/>
  <c r="L47" i="69" a="1"/>
  <c r="L47" i="69" s="1"/>
  <c r="L42" i="69" a="1"/>
  <c r="L42" i="69" s="1"/>
  <c r="L42" i="43" a="1"/>
  <c r="L42" i="43" s="1"/>
  <c r="L44" i="69" a="1"/>
  <c r="L44" i="69" s="1"/>
  <c r="L46" i="69" a="1"/>
  <c r="L46" i="69" s="1"/>
  <c r="L47" i="43" a="1"/>
  <c r="L47" i="43" s="1"/>
  <c r="L44" i="43" a="1"/>
  <c r="L44" i="43" s="1"/>
  <c r="I85" i="69" a="1"/>
  <c r="I85" i="69" s="1"/>
  <c r="K85" i="69" a="1"/>
  <c r="K85" i="69" s="1"/>
  <c r="J85" i="69" a="1"/>
  <c r="J85" i="69" s="1"/>
  <c r="I48" i="43" a="1"/>
  <c r="I48" i="43" s="1"/>
  <c r="I48" i="69" a="1"/>
  <c r="I48" i="69" s="1"/>
  <c r="L92" i="69" a="1"/>
  <c r="L92" i="69" s="1"/>
  <c r="J94" i="69" a="1"/>
  <c r="J94" i="69" s="1"/>
  <c r="C108" i="43"/>
  <c r="I93" i="43" a="1"/>
  <c r="I93" i="43" s="1"/>
  <c r="L93" i="43" a="1"/>
  <c r="L93" i="43" s="1"/>
  <c r="L89" i="69" a="1"/>
  <c r="L89" i="69" s="1"/>
  <c r="L87" i="69" a="1"/>
  <c r="L87" i="69" s="1"/>
  <c r="J87" i="69" a="1"/>
  <c r="J87" i="69" s="1"/>
  <c r="I87" i="69" a="1"/>
  <c r="I87" i="69" s="1"/>
  <c r="K87" i="69" a="1"/>
  <c r="K87" i="69" s="1"/>
  <c r="C102" i="69"/>
  <c r="C105" i="43"/>
  <c r="I94" i="69" a="1"/>
  <c r="I94" i="69" s="1"/>
  <c r="C104" i="43"/>
  <c r="L89" i="43" a="1"/>
  <c r="L89" i="43" s="1"/>
  <c r="K42" i="69" a="1"/>
  <c r="K42" i="69" s="1"/>
  <c r="K47" i="69" a="1"/>
  <c r="K47" i="69" s="1"/>
  <c r="I94" i="43" a="1"/>
  <c r="I94" i="43" s="1"/>
  <c r="K94" i="69" a="1"/>
  <c r="K94" i="69" s="1"/>
  <c r="H134" i="29"/>
  <c r="J47" i="69" a="1"/>
  <c r="J47" i="69" s="1"/>
  <c r="J42" i="69" a="1"/>
  <c r="J42" i="69" s="1"/>
  <c r="K48" i="69" a="1"/>
  <c r="K48" i="69" s="1"/>
  <c r="G134" i="29"/>
  <c r="I47" i="43" a="1"/>
  <c r="I47" i="43" s="1"/>
  <c r="I47" i="69" a="1"/>
  <c r="I47" i="69" s="1"/>
  <c r="I42" i="69" a="1"/>
  <c r="I42" i="69" s="1"/>
  <c r="C100" i="43"/>
  <c r="I85" i="43" a="1"/>
  <c r="I85" i="43" s="1"/>
  <c r="I86" i="69" a="1"/>
  <c r="I86" i="69" s="1"/>
  <c r="C124" i="43"/>
  <c r="C102" i="43"/>
  <c r="L87" i="43" a="1"/>
  <c r="L87" i="43" s="1"/>
  <c r="L91" i="69" a="1"/>
  <c r="L91" i="69" s="1"/>
  <c r="C107" i="43"/>
  <c r="I92" i="43" a="1"/>
  <c r="I92" i="43" s="1"/>
  <c r="L92" i="43" a="1"/>
  <c r="L92" i="43" s="1"/>
  <c r="B208" i="51"/>
  <c r="B216" i="51"/>
  <c r="B259" i="51" s="1"/>
  <c r="J77" i="29"/>
  <c r="J115" i="29" s="1"/>
  <c r="J76" i="29"/>
  <c r="J111" i="29" s="1"/>
  <c r="B212" i="51"/>
  <c r="J80" i="29"/>
  <c r="J127" i="29" s="1"/>
  <c r="J79" i="29"/>
  <c r="J123" i="29" s="1"/>
  <c r="L90" i="69" s="1" a="1"/>
  <c r="L90" i="69" s="1"/>
  <c r="J78" i="29"/>
  <c r="J119" i="29" s="1"/>
  <c r="J82" i="29"/>
  <c r="F72" i="69"/>
  <c r="B126" i="29"/>
  <c r="K107" i="69" s="1" a="1"/>
  <c r="K107" i="69" s="1"/>
  <c r="G136" i="29"/>
  <c r="F77" i="69"/>
  <c r="I136" i="29"/>
  <c r="H136" i="29"/>
  <c r="B215" i="51"/>
  <c r="B206" i="51"/>
  <c r="B221" i="51"/>
  <c r="B214" i="51"/>
  <c r="B217" i="51"/>
  <c r="B205" i="51"/>
  <c r="B209" i="51"/>
  <c r="B199" i="51"/>
  <c r="B247" i="51"/>
  <c r="B243" i="51"/>
  <c r="B198" i="51"/>
  <c r="B251" i="51"/>
  <c r="B210" i="51"/>
  <c r="B211" i="51"/>
  <c r="B202" i="51"/>
  <c r="B201" i="51"/>
  <c r="B218" i="51"/>
  <c r="B213" i="51"/>
  <c r="B219" i="51"/>
  <c r="B263" i="51"/>
  <c r="B203" i="51"/>
  <c r="B207" i="51"/>
  <c r="F57" i="69"/>
  <c r="J134" i="29"/>
  <c r="F62" i="69"/>
  <c r="I134" i="29"/>
  <c r="C104" i="69"/>
  <c r="C121" i="69"/>
  <c r="C116" i="69"/>
  <c r="C108" i="69"/>
  <c r="F78" i="69"/>
  <c r="C120" i="69"/>
  <c r="C100" i="69"/>
  <c r="C122" i="69"/>
  <c r="C124" i="69"/>
  <c r="C118" i="69"/>
  <c r="B31" i="46"/>
  <c r="B32" i="46"/>
  <c r="B33" i="46"/>
  <c r="B34" i="46"/>
  <c r="B35" i="46"/>
  <c r="B36" i="46"/>
  <c r="B37" i="46"/>
  <c r="B38" i="46"/>
  <c r="B39" i="46"/>
  <c r="B40" i="46"/>
  <c r="B41" i="46"/>
  <c r="B42" i="46"/>
  <c r="B43" i="46"/>
  <c r="B44" i="46"/>
  <c r="B45" i="46"/>
  <c r="B46" i="46"/>
  <c r="B47" i="46"/>
  <c r="B48" i="46"/>
  <c r="B49" i="46"/>
  <c r="B50" i="46"/>
  <c r="B51" i="46"/>
  <c r="B52" i="46"/>
  <c r="B53" i="46"/>
  <c r="B54" i="46"/>
  <c r="B30" i="46"/>
  <c r="E26" i="46"/>
  <c r="D26" i="46"/>
  <c r="L109" i="69" l="1" a="1"/>
  <c r="L109" i="69" s="1"/>
  <c r="J109" i="69" a="1"/>
  <c r="J109" i="69" s="1"/>
  <c r="L106" i="69" a="1"/>
  <c r="L106" i="69" s="1"/>
  <c r="J107" i="69" a="1"/>
  <c r="J107" i="69" s="1"/>
  <c r="J101" i="69" a="1"/>
  <c r="J101" i="69" s="1"/>
  <c r="L88" i="43" a="1"/>
  <c r="L88" i="43" s="1"/>
  <c r="L101" i="69" a="1"/>
  <c r="L101" i="69" s="1"/>
  <c r="L94" i="43" a="1"/>
  <c r="L94" i="43" s="1"/>
  <c r="L85" i="69" a="1"/>
  <c r="L85" i="69" s="1"/>
  <c r="F85" i="69" s="1"/>
  <c r="I109" i="69" a="1"/>
  <c r="I109" i="69" s="1"/>
  <c r="L90" i="43" a="1"/>
  <c r="L90" i="43" s="1"/>
  <c r="L109" i="43" a="1"/>
  <c r="L109" i="43" s="1"/>
  <c r="L108" i="43" a="1"/>
  <c r="L108" i="43" s="1"/>
  <c r="I108" i="43" a="1"/>
  <c r="I108" i="43" s="1"/>
  <c r="C123" i="43"/>
  <c r="L101" i="43" a="1"/>
  <c r="L101" i="43" s="1"/>
  <c r="K109" i="69" a="1"/>
  <c r="K109" i="69" s="1"/>
  <c r="L85" i="43" a="1"/>
  <c r="L85" i="43" s="1"/>
  <c r="L105" i="69" a="1"/>
  <c r="L105" i="69" s="1"/>
  <c r="L107" i="69" a="1"/>
  <c r="L107" i="69" s="1"/>
  <c r="L104" i="43" a="1"/>
  <c r="L104" i="43" s="1"/>
  <c r="C119" i="43"/>
  <c r="L105" i="43" a="1"/>
  <c r="L105" i="43" s="1"/>
  <c r="C120" i="43"/>
  <c r="C121" i="43"/>
  <c r="I109" i="43" a="1"/>
  <c r="I109" i="43" s="1"/>
  <c r="L107" i="43" a="1"/>
  <c r="L107" i="43" s="1"/>
  <c r="I107" i="43" a="1"/>
  <c r="I107" i="43" s="1"/>
  <c r="C122" i="43"/>
  <c r="L94" i="69" a="1"/>
  <c r="L94" i="69" s="1"/>
  <c r="F94" i="69" s="1"/>
  <c r="L103" i="43" a="1"/>
  <c r="L103" i="43" s="1"/>
  <c r="C118" i="43"/>
  <c r="L73" i="69" a="1"/>
  <c r="L73" i="69" s="1"/>
  <c r="L70" i="69" a="1"/>
  <c r="L70" i="69" s="1"/>
  <c r="F70" i="69" s="1"/>
  <c r="L73" i="43" a="1"/>
  <c r="L73" i="43" s="1"/>
  <c r="L79" i="43" a="1"/>
  <c r="L79" i="43" s="1"/>
  <c r="L79" i="69" a="1"/>
  <c r="L79" i="69" s="1"/>
  <c r="F79" i="69" s="1"/>
  <c r="L71" i="43" a="1"/>
  <c r="L71" i="43" s="1"/>
  <c r="L75" i="69" a="1"/>
  <c r="L75" i="69" s="1"/>
  <c r="L71" i="69" a="1"/>
  <c r="L71" i="69" s="1"/>
  <c r="F71" i="69" s="1"/>
  <c r="L75" i="43" a="1"/>
  <c r="L75" i="43" s="1"/>
  <c r="L70" i="43" a="1"/>
  <c r="L70" i="43" s="1"/>
  <c r="L108" i="69" a="1"/>
  <c r="L108" i="69" s="1"/>
  <c r="I108" i="69" a="1"/>
  <c r="I108" i="69" s="1"/>
  <c r="J108" i="69" a="1"/>
  <c r="J108" i="69" s="1"/>
  <c r="K108" i="69" a="1"/>
  <c r="K108" i="69" s="1"/>
  <c r="K102" i="69" a="1"/>
  <c r="K102" i="69" s="1"/>
  <c r="L102" i="69" a="1"/>
  <c r="L102" i="69" s="1"/>
  <c r="I102" i="69" a="1"/>
  <c r="I102" i="69" s="1"/>
  <c r="J102" i="69" a="1"/>
  <c r="J102" i="69" s="1"/>
  <c r="C117" i="69"/>
  <c r="L56" i="43" a="1"/>
  <c r="L56" i="43" s="1"/>
  <c r="L60" i="43" a="1"/>
  <c r="L60" i="43" s="1"/>
  <c r="L64" i="69" a="1"/>
  <c r="L64" i="69" s="1"/>
  <c r="F64" i="69" s="1"/>
  <c r="L55" i="43" a="1"/>
  <c r="L55" i="43" s="1"/>
  <c r="L58" i="69" a="1"/>
  <c r="L58" i="69" s="1"/>
  <c r="L64" i="43" a="1"/>
  <c r="L64" i="43" s="1"/>
  <c r="L60" i="69" a="1"/>
  <c r="L60" i="69" s="1"/>
  <c r="L58" i="43" a="1"/>
  <c r="L58" i="43" s="1"/>
  <c r="L55" i="69" a="1"/>
  <c r="L55" i="69" s="1"/>
  <c r="F55" i="69" s="1"/>
  <c r="L56" i="69" a="1"/>
  <c r="L56" i="69" s="1"/>
  <c r="F56" i="69" s="1"/>
  <c r="K101" i="69" a="1"/>
  <c r="K101" i="69" s="1"/>
  <c r="I107" i="69" a="1"/>
  <c r="I107" i="69" s="1"/>
  <c r="L86" i="43" a="1"/>
  <c r="L86" i="43" s="1"/>
  <c r="J100" i="69" a="1"/>
  <c r="J100" i="69" s="1"/>
  <c r="L100" i="69" a="1"/>
  <c r="L100" i="69" s="1"/>
  <c r="K100" i="69" a="1"/>
  <c r="K100" i="69" s="1"/>
  <c r="I100" i="69" a="1"/>
  <c r="I100" i="69" s="1"/>
  <c r="L43" i="69" a="1"/>
  <c r="L43" i="69" s="1"/>
  <c r="L43" i="43" a="1"/>
  <c r="L43" i="43" s="1"/>
  <c r="L45" i="69" a="1"/>
  <c r="L45" i="69" s="1"/>
  <c r="L41" i="43" a="1"/>
  <c r="L41" i="43" s="1"/>
  <c r="L41" i="69" a="1"/>
  <c r="L41" i="69" s="1"/>
  <c r="F41" i="69" s="1"/>
  <c r="L49" i="69" a="1"/>
  <c r="L49" i="69" s="1"/>
  <c r="L40" i="43" a="1"/>
  <c r="L40" i="43" s="1"/>
  <c r="L49" i="43" a="1"/>
  <c r="L49" i="43" s="1"/>
  <c r="L40" i="69" a="1"/>
  <c r="L40" i="69" s="1"/>
  <c r="F40" i="69" s="1"/>
  <c r="L45" i="43" a="1"/>
  <c r="L45" i="43" s="1"/>
  <c r="L104" i="69" a="1"/>
  <c r="L104" i="69" s="1"/>
  <c r="I100" i="43" a="1"/>
  <c r="I100" i="43" s="1"/>
  <c r="L100" i="43" a="1"/>
  <c r="L100" i="43" s="1"/>
  <c r="C115" i="43"/>
  <c r="I101" i="69" a="1"/>
  <c r="I101" i="69" s="1"/>
  <c r="L103" i="69" a="1"/>
  <c r="L103" i="69" s="1"/>
  <c r="L86" i="69" a="1"/>
  <c r="L86" i="69" s="1"/>
  <c r="F86" i="69" s="1"/>
  <c r="L88" i="69" a="1"/>
  <c r="L88" i="69" s="1"/>
  <c r="L102" i="43" a="1"/>
  <c r="L102" i="43" s="1"/>
  <c r="C117" i="43"/>
  <c r="F49" i="69"/>
  <c r="B255" i="51"/>
  <c r="J135" i="29"/>
  <c r="B135" i="29" s="1"/>
  <c r="F87" i="69"/>
  <c r="F93" i="69"/>
  <c r="F48" i="69"/>
  <c r="B130" i="29"/>
  <c r="F92" i="69"/>
  <c r="B246" i="51"/>
  <c r="B250" i="51"/>
  <c r="B262" i="51"/>
  <c r="B244" i="51"/>
  <c r="B245" i="51"/>
  <c r="B241" i="51"/>
  <c r="B254" i="51"/>
  <c r="B242" i="51"/>
  <c r="B252" i="51"/>
  <c r="B257" i="51"/>
  <c r="B258" i="51"/>
  <c r="B256" i="51"/>
  <c r="B264" i="51"/>
  <c r="B261" i="51"/>
  <c r="B253" i="51"/>
  <c r="B248" i="51"/>
  <c r="B260" i="51"/>
  <c r="B249" i="51"/>
  <c r="F47" i="69"/>
  <c r="F42" i="69"/>
  <c r="C123" i="69"/>
  <c r="C115" i="69"/>
  <c r="C119" i="69"/>
  <c r="L116" i="43" l="1" a="1"/>
  <c r="L116" i="43" s="1"/>
  <c r="K122" i="69" a="1"/>
  <c r="K122" i="69" s="1"/>
  <c r="I124" i="69" a="1"/>
  <c r="I124" i="69" s="1"/>
  <c r="J116" i="69" a="1"/>
  <c r="J116" i="69" s="1"/>
  <c r="L123" i="69" a="1"/>
  <c r="L123" i="69" s="1"/>
  <c r="J123" i="69" a="1"/>
  <c r="J123" i="69" s="1"/>
  <c r="K123" i="69" a="1"/>
  <c r="K123" i="69" s="1"/>
  <c r="I123" i="69" a="1"/>
  <c r="I123" i="69" s="1"/>
  <c r="J122" i="69" a="1"/>
  <c r="J122" i="69" s="1"/>
  <c r="L116" i="69" a="1"/>
  <c r="L116" i="69" s="1"/>
  <c r="J124" i="69" a="1"/>
  <c r="J124" i="69" s="1"/>
  <c r="K117" i="69" a="1"/>
  <c r="K117" i="69" s="1"/>
  <c r="L117" i="69" a="1"/>
  <c r="L117" i="69" s="1"/>
  <c r="J117" i="69" a="1"/>
  <c r="J117" i="69" s="1"/>
  <c r="I117" i="69" a="1"/>
  <c r="I117" i="69" s="1"/>
  <c r="K116" i="69" a="1"/>
  <c r="K116" i="69" s="1"/>
  <c r="K115" i="69" a="1"/>
  <c r="K115" i="69" s="1"/>
  <c r="I115" i="69" a="1"/>
  <c r="I115" i="69" s="1"/>
  <c r="J115" i="69" a="1"/>
  <c r="J115" i="69" s="1"/>
  <c r="L115" i="69" a="1"/>
  <c r="L115" i="69" s="1"/>
  <c r="I122" i="69" a="1"/>
  <c r="I122" i="69" s="1"/>
  <c r="K124" i="69" a="1"/>
  <c r="K124" i="69" s="1"/>
  <c r="L124" i="69" a="1"/>
  <c r="L124" i="69" s="1"/>
  <c r="L121" i="69" a="1"/>
  <c r="L121" i="69" s="1"/>
  <c r="I122" i="43" a="1"/>
  <c r="I122" i="43" s="1"/>
  <c r="L122" i="43" a="1"/>
  <c r="L122" i="43" s="1"/>
  <c r="D16" i="4"/>
  <c r="L118" i="69" a="1"/>
  <c r="L118" i="69" s="1"/>
  <c r="L124" i="43" a="1"/>
  <c r="L124" i="43" s="1"/>
  <c r="L118" i="43" a="1"/>
  <c r="L118" i="43" s="1"/>
  <c r="L117" i="43" a="1"/>
  <c r="L117" i="43" s="1"/>
  <c r="L123" i="43" a="1"/>
  <c r="L123" i="43" s="1"/>
  <c r="I123" i="43" a="1"/>
  <c r="I123" i="43" s="1"/>
  <c r="I124" i="43" a="1"/>
  <c r="I124" i="43" s="1"/>
  <c r="L119" i="43" a="1"/>
  <c r="L119" i="43" s="1"/>
  <c r="L119" i="69" a="1"/>
  <c r="L119" i="69" s="1"/>
  <c r="L120" i="43" a="1"/>
  <c r="L120" i="43" s="1"/>
  <c r="L122" i="69" a="1"/>
  <c r="L122" i="69" s="1"/>
  <c r="I116" i="69" a="1"/>
  <c r="I116" i="69" s="1"/>
  <c r="L115" i="43" a="1"/>
  <c r="L115" i="43" s="1"/>
  <c r="I115" i="43" a="1"/>
  <c r="I115" i="43" s="1"/>
  <c r="L120" i="69" a="1"/>
  <c r="L120" i="69" s="1"/>
  <c r="L50" i="69"/>
  <c r="L16" i="69" s="1"/>
  <c r="L65" i="69"/>
  <c r="L17" i="69" s="1"/>
  <c r="L95" i="69"/>
  <c r="L19" i="69" s="1"/>
  <c r="L80" i="69"/>
  <c r="L18" i="69" s="1"/>
  <c r="F102" i="69"/>
  <c r="F109" i="69"/>
  <c r="F107" i="69"/>
  <c r="F101" i="69"/>
  <c r="F108" i="69"/>
  <c r="F100" i="69"/>
  <c r="L110" i="69"/>
  <c r="L20" i="69" s="1"/>
  <c r="F124" i="69" l="1"/>
  <c r="F122" i="69"/>
  <c r="F116" i="69"/>
  <c r="F117" i="69"/>
  <c r="L125" i="69"/>
  <c r="L21" i="69" s="1"/>
  <c r="L22" i="69" s="1"/>
  <c r="F123" i="69"/>
  <c r="F115" i="69"/>
  <c r="L31" i="69" l="1"/>
  <c r="L29" i="69"/>
  <c r="L27" i="69"/>
  <c r="L30" i="69"/>
  <c r="L32" i="69"/>
  <c r="L28" i="69"/>
  <c r="K236" i="51" l="1"/>
  <c r="AH40" i="80"/>
  <c r="K64" i="51"/>
  <c r="AD40" i="80"/>
  <c r="K150" i="51"/>
  <c r="AF40" i="80"/>
  <c r="K107" i="51"/>
  <c r="AE40" i="80"/>
  <c r="K21" i="51"/>
  <c r="AC40" i="80"/>
  <c r="K193" i="51"/>
  <c r="AG40" i="80"/>
  <c r="L33" i="69"/>
  <c r="AI40" i="80" l="1"/>
  <c r="L202" i="45"/>
  <c r="L194" i="45"/>
  <c r="J198" i="45"/>
  <c r="J190" i="45"/>
  <c r="L190" i="45"/>
  <c r="I154" i="45"/>
  <c r="I153" i="45"/>
  <c r="L158" i="45"/>
  <c r="K161" i="45"/>
  <c r="K160" i="45"/>
  <c r="K159" i="45"/>
  <c r="K154" i="45"/>
  <c r="K153" i="45"/>
  <c r="K152" i="45"/>
  <c r="J161" i="45"/>
  <c r="J160" i="45"/>
  <c r="J159" i="45"/>
  <c r="J154" i="45"/>
  <c r="J153" i="45"/>
  <c r="J152" i="45"/>
  <c r="I57" i="43" l="1" a="1"/>
  <c r="I57" i="43" s="1"/>
  <c r="I72" i="43" a="1"/>
  <c r="I72" i="43" s="1"/>
  <c r="I87" i="43" a="1"/>
  <c r="I87" i="43" s="1"/>
  <c r="I42" i="43" a="1"/>
  <c r="I42" i="43" s="1"/>
  <c r="I102" i="43" a="1"/>
  <c r="I102" i="43" s="1"/>
  <c r="I117" i="43" a="1"/>
  <c r="I117" i="43" s="1"/>
  <c r="L61" i="43" a="1"/>
  <c r="L61" i="43" s="1"/>
  <c r="L65" i="43" s="1"/>
  <c r="L76" i="43" a="1"/>
  <c r="L76" i="43" s="1"/>
  <c r="L46" i="43" a="1"/>
  <c r="L46" i="43" s="1"/>
  <c r="L91" i="43" a="1"/>
  <c r="L91" i="43" s="1"/>
  <c r="L106" i="43" a="1"/>
  <c r="L106" i="43" s="1"/>
  <c r="L121" i="43" a="1"/>
  <c r="L121" i="43" s="1"/>
  <c r="K41" i="43" a="1"/>
  <c r="K41" i="43" s="1"/>
  <c r="K56" i="43" a="1"/>
  <c r="K56" i="43" s="1"/>
  <c r="K71" i="43" a="1"/>
  <c r="K71" i="43" s="1"/>
  <c r="K86" i="43" a="1"/>
  <c r="K86" i="43" s="1"/>
  <c r="K101" i="43" a="1"/>
  <c r="K101" i="43" s="1"/>
  <c r="K116" i="43" a="1"/>
  <c r="K116" i="43" s="1"/>
  <c r="J49" i="43" a="1"/>
  <c r="J49" i="43" s="1"/>
  <c r="J64" i="43" a="1"/>
  <c r="J64" i="43" s="1"/>
  <c r="J79" i="43" a="1"/>
  <c r="J79" i="43" s="1"/>
  <c r="J94" i="43" a="1"/>
  <c r="J94" i="43" s="1"/>
  <c r="J109" i="43" a="1"/>
  <c r="J109" i="43" s="1"/>
  <c r="J124" i="43" a="1"/>
  <c r="J124" i="43" s="1"/>
  <c r="K40" i="43" a="1"/>
  <c r="K40" i="43" s="1"/>
  <c r="K55" i="43" a="1"/>
  <c r="K55" i="43" s="1"/>
  <c r="K70" i="43" a="1"/>
  <c r="K70" i="43" s="1"/>
  <c r="K85" i="43" a="1"/>
  <c r="K85" i="43" s="1"/>
  <c r="K100" i="43" a="1"/>
  <c r="K100" i="43" s="1"/>
  <c r="K115" i="43" a="1"/>
  <c r="K115" i="43" s="1"/>
  <c r="J40" i="43" a="1"/>
  <c r="J40" i="43" s="1"/>
  <c r="J55" i="43" a="1"/>
  <c r="J55" i="43" s="1"/>
  <c r="J70" i="43" a="1"/>
  <c r="J70" i="43" s="1"/>
  <c r="J85" i="43" a="1"/>
  <c r="J85" i="43" s="1"/>
  <c r="J100" i="43" a="1"/>
  <c r="J100" i="43" s="1"/>
  <c r="J115" i="43" a="1"/>
  <c r="J115" i="43" s="1"/>
  <c r="K57" i="43" a="1"/>
  <c r="K57" i="43" s="1"/>
  <c r="K72" i="43" a="1"/>
  <c r="K72" i="43" s="1"/>
  <c r="K42" i="43" a="1"/>
  <c r="K42" i="43" s="1"/>
  <c r="K87" i="43" a="1"/>
  <c r="K87" i="43" s="1"/>
  <c r="K102" i="43" a="1"/>
  <c r="K102" i="43" s="1"/>
  <c r="K117" i="43" a="1"/>
  <c r="K117" i="43" s="1"/>
  <c r="K62" i="43" a="1"/>
  <c r="K62" i="43" s="1"/>
  <c r="K77" i="43" a="1"/>
  <c r="K77" i="43" s="1"/>
  <c r="K92" i="43" a="1"/>
  <c r="K92" i="43" s="1"/>
  <c r="K47" i="43" a="1"/>
  <c r="K47" i="43" s="1"/>
  <c r="K107" i="43" a="1"/>
  <c r="K107" i="43" s="1"/>
  <c r="K122" i="43" a="1"/>
  <c r="K122" i="43" s="1"/>
  <c r="J72" i="43" a="1"/>
  <c r="J72" i="43" s="1"/>
  <c r="J57" i="43" a="1"/>
  <c r="J57" i="43" s="1"/>
  <c r="J87" i="43" a="1"/>
  <c r="J87" i="43" s="1"/>
  <c r="J42" i="43" a="1"/>
  <c r="J42" i="43" s="1"/>
  <c r="J102" i="43" a="1"/>
  <c r="J102" i="43" s="1"/>
  <c r="J117" i="43" a="1"/>
  <c r="J117" i="43" s="1"/>
  <c r="K63" i="43" a="1"/>
  <c r="K63" i="43" s="1"/>
  <c r="K78" i="43" a="1"/>
  <c r="K78" i="43" s="1"/>
  <c r="K93" i="43" a="1"/>
  <c r="K93" i="43" s="1"/>
  <c r="K48" i="43" a="1"/>
  <c r="K48" i="43" s="1"/>
  <c r="K108" i="43" a="1"/>
  <c r="K108" i="43" s="1"/>
  <c r="K123" i="43" a="1"/>
  <c r="K123" i="43" s="1"/>
  <c r="J63" i="43" a="1"/>
  <c r="J63" i="43" s="1"/>
  <c r="J78" i="43" a="1"/>
  <c r="J78" i="43" s="1"/>
  <c r="J48" i="43" a="1"/>
  <c r="J48" i="43" s="1"/>
  <c r="J93" i="43" a="1"/>
  <c r="J93" i="43" s="1"/>
  <c r="J108" i="43" a="1"/>
  <c r="J108" i="43" s="1"/>
  <c r="J123" i="43" a="1"/>
  <c r="J123" i="43" s="1"/>
  <c r="I41" i="43" a="1"/>
  <c r="I41" i="43" s="1"/>
  <c r="I56" i="43" a="1"/>
  <c r="I56" i="43" s="1"/>
  <c r="I71" i="43" a="1"/>
  <c r="I71" i="43" s="1"/>
  <c r="I86" i="43" a="1"/>
  <c r="I86" i="43" s="1"/>
  <c r="I101" i="43" a="1"/>
  <c r="I101" i="43" s="1"/>
  <c r="I116" i="43" a="1"/>
  <c r="I116" i="43" s="1"/>
  <c r="J41" i="43" a="1"/>
  <c r="J41" i="43" s="1"/>
  <c r="J56" i="43" a="1"/>
  <c r="J56" i="43" s="1"/>
  <c r="J71" i="43" a="1"/>
  <c r="J71" i="43" s="1"/>
  <c r="J101" i="43" a="1"/>
  <c r="J101" i="43" s="1"/>
  <c r="J86" i="43" a="1"/>
  <c r="J86" i="43" s="1"/>
  <c r="J116" i="43" a="1"/>
  <c r="J116" i="43" s="1"/>
  <c r="J62" i="43" a="1"/>
  <c r="J62" i="43" s="1"/>
  <c r="J77" i="43" a="1"/>
  <c r="J77" i="43" s="1"/>
  <c r="J92" i="43" a="1"/>
  <c r="J92" i="43" s="1"/>
  <c r="J47" i="43" a="1"/>
  <c r="J47" i="43" s="1"/>
  <c r="J107" i="43" a="1"/>
  <c r="J107" i="43" s="1"/>
  <c r="J122" i="43" a="1"/>
  <c r="J122" i="43" s="1"/>
  <c r="K49" i="43" a="1"/>
  <c r="K49" i="43" s="1"/>
  <c r="K64" i="43" a="1"/>
  <c r="K64" i="43" s="1"/>
  <c r="K79" i="43" a="1"/>
  <c r="K79" i="43" s="1"/>
  <c r="K94" i="43" a="1"/>
  <c r="K94" i="43" s="1"/>
  <c r="K109" i="43" a="1"/>
  <c r="K109" i="43" s="1"/>
  <c r="K124" i="43" a="1"/>
  <c r="K124" i="43" s="1"/>
  <c r="K133" i="45"/>
  <c r="K132" i="45"/>
  <c r="K131" i="45"/>
  <c r="J132" i="45"/>
  <c r="J131" i="45"/>
  <c r="J130" i="45"/>
  <c r="I132" i="45"/>
  <c r="I131" i="45"/>
  <c r="I130" i="45"/>
  <c r="L128" i="45"/>
  <c r="F40" i="43" l="1"/>
  <c r="F55" i="43"/>
  <c r="F57" i="43"/>
  <c r="L130" i="45"/>
  <c r="I79" i="45" l="1"/>
  <c r="I87" i="45" s="1"/>
  <c r="L40" i="45"/>
  <c r="I22" i="45" l="1"/>
  <c r="L22" i="45"/>
  <c r="K22" i="45"/>
  <c r="J22" i="45"/>
  <c r="I27" i="45" l="1"/>
  <c r="H59" i="51" s="1"/>
  <c r="D22" i="45"/>
  <c r="D32" i="45" s="1"/>
  <c r="I26" i="45"/>
  <c r="H16" i="51" s="1"/>
  <c r="L66" i="45" l="1"/>
  <c r="K17" i="51" s="1"/>
  <c r="K66" i="45" l="1"/>
  <c r="J17" i="51" s="1"/>
  <c r="I66" i="45" l="1"/>
  <c r="H17" i="51" s="1"/>
  <c r="J66" i="45"/>
  <c r="I17" i="51" s="1"/>
  <c r="D62" i="45" l="1"/>
  <c r="I71" i="45"/>
  <c r="H232" i="51" s="1"/>
  <c r="I63" i="45" l="1"/>
  <c r="J63" i="45"/>
  <c r="K63" i="45"/>
  <c r="L63" i="45"/>
  <c r="D105" i="45"/>
  <c r="D106" i="45"/>
  <c r="D107" i="45"/>
  <c r="D108" i="45"/>
  <c r="D109" i="45"/>
  <c r="D131" i="45" l="1"/>
  <c r="D129" i="45"/>
  <c r="D130" i="45"/>
  <c r="D132" i="45"/>
  <c r="D133" i="45"/>
  <c r="D128" i="45"/>
  <c r="L67" i="45" l="1"/>
  <c r="K60" i="51" s="1"/>
  <c r="K188" i="45" l="1"/>
  <c r="K190" i="45" s="1"/>
  <c r="I188" i="45"/>
  <c r="J200" i="45"/>
  <c r="J157" i="45" l="1"/>
  <c r="J175" i="45"/>
  <c r="I192" i="45"/>
  <c r="I190" i="45"/>
  <c r="K192" i="45"/>
  <c r="J45" i="69" l="1" a="1"/>
  <c r="J45" i="69" s="1"/>
  <c r="J60" i="69" a="1"/>
  <c r="J60" i="69" s="1"/>
  <c r="J75" i="69" a="1"/>
  <c r="J75" i="69" s="1"/>
  <c r="J90" i="69" a="1"/>
  <c r="J90" i="69" s="1"/>
  <c r="J105" i="69" a="1"/>
  <c r="J105" i="69" s="1"/>
  <c r="J120" i="69" a="1"/>
  <c r="J120" i="69" s="1"/>
  <c r="J45" i="43" a="1"/>
  <c r="J45" i="43" s="1"/>
  <c r="J60" i="43" a="1"/>
  <c r="J60" i="43" s="1"/>
  <c r="J75" i="43" a="1"/>
  <c r="J75" i="43" s="1"/>
  <c r="J90" i="43" a="1"/>
  <c r="J90" i="43" s="1"/>
  <c r="J105" i="43" a="1"/>
  <c r="J105" i="43" s="1"/>
  <c r="J120" i="43" a="1"/>
  <c r="J120" i="43" s="1"/>
  <c r="K155" i="45"/>
  <c r="K173" i="45"/>
  <c r="I196" i="45"/>
  <c r="I198" i="45" s="1"/>
  <c r="K196" i="45"/>
  <c r="K198" i="45" s="1"/>
  <c r="J192" i="45"/>
  <c r="J201" i="45"/>
  <c r="J202" i="45" s="1"/>
  <c r="B152" i="45"/>
  <c r="B153" i="45"/>
  <c r="B154" i="45"/>
  <c r="B155" i="45"/>
  <c r="B156" i="45"/>
  <c r="B157" i="45"/>
  <c r="L162" i="45"/>
  <c r="B158" i="45"/>
  <c r="B159" i="45"/>
  <c r="B160" i="45"/>
  <c r="B161" i="45"/>
  <c r="B170" i="45"/>
  <c r="B171" i="45"/>
  <c r="B172" i="45"/>
  <c r="B173" i="45"/>
  <c r="B174" i="45"/>
  <c r="B175" i="45"/>
  <c r="B176" i="45"/>
  <c r="B177" i="45"/>
  <c r="B178" i="45"/>
  <c r="B179" i="45"/>
  <c r="D20" i="45"/>
  <c r="D30" i="45" s="1"/>
  <c r="D21" i="45"/>
  <c r="D31" i="45" s="1"/>
  <c r="K43" i="69" l="1" a="1"/>
  <c r="K43" i="69" s="1"/>
  <c r="K58" i="69" a="1"/>
  <c r="K58" i="69" s="1"/>
  <c r="K73" i="69" a="1"/>
  <c r="K73" i="69" s="1"/>
  <c r="K88" i="69" a="1"/>
  <c r="K88" i="69" s="1"/>
  <c r="K103" i="69" a="1"/>
  <c r="K103" i="69" s="1"/>
  <c r="K118" i="69" a="1"/>
  <c r="K118" i="69" s="1"/>
  <c r="K43" i="43" a="1"/>
  <c r="K43" i="43" s="1"/>
  <c r="K58" i="43" a="1"/>
  <c r="K58" i="43" s="1"/>
  <c r="K73" i="43" a="1"/>
  <c r="K73" i="43" s="1"/>
  <c r="K88" i="43" a="1"/>
  <c r="K88" i="43" s="1"/>
  <c r="K103" i="43" a="1"/>
  <c r="K103" i="43" s="1"/>
  <c r="K118" i="43" a="1"/>
  <c r="K118" i="43" s="1"/>
  <c r="J173" i="45"/>
  <c r="J158" i="45"/>
  <c r="J176" i="45"/>
  <c r="J193" i="45"/>
  <c r="J194" i="45" s="1"/>
  <c r="J155" i="45"/>
  <c r="D152" i="45"/>
  <c r="D153" i="45"/>
  <c r="K200" i="45"/>
  <c r="D161" i="45"/>
  <c r="D159" i="45"/>
  <c r="D160" i="45"/>
  <c r="D154" i="45"/>
  <c r="I200" i="45"/>
  <c r="K193" i="45"/>
  <c r="K194" i="45" s="1"/>
  <c r="J76" i="69" l="1" a="1"/>
  <c r="J76" i="69" s="1"/>
  <c r="J91" i="69" a="1"/>
  <c r="J91" i="69" s="1"/>
  <c r="J61" i="69" a="1"/>
  <c r="J61" i="69" s="1"/>
  <c r="J46" i="69" a="1"/>
  <c r="J46" i="69" s="1"/>
  <c r="J106" i="69" a="1"/>
  <c r="J106" i="69" s="1"/>
  <c r="J121" i="69" a="1"/>
  <c r="J121" i="69" s="1"/>
  <c r="J61" i="43" a="1"/>
  <c r="J61" i="43" s="1"/>
  <c r="J76" i="43" a="1"/>
  <c r="J76" i="43" s="1"/>
  <c r="J46" i="43" a="1"/>
  <c r="J46" i="43" s="1"/>
  <c r="J91" i="43" a="1"/>
  <c r="J91" i="43" s="1"/>
  <c r="J106" i="43" a="1"/>
  <c r="J106" i="43" s="1"/>
  <c r="J121" i="43" a="1"/>
  <c r="J121" i="43" s="1"/>
  <c r="J43" i="69" a="1"/>
  <c r="J43" i="69" s="1"/>
  <c r="J58" i="69" a="1"/>
  <c r="J58" i="69" s="1"/>
  <c r="J73" i="69" a="1"/>
  <c r="J73" i="69" s="1"/>
  <c r="J88" i="69" a="1"/>
  <c r="J88" i="69" s="1"/>
  <c r="J103" i="69" a="1"/>
  <c r="J103" i="69" s="1"/>
  <c r="J118" i="69" a="1"/>
  <c r="J118" i="69" s="1"/>
  <c r="J43" i="43" a="1"/>
  <c r="J43" i="43" s="1"/>
  <c r="J58" i="43" a="1"/>
  <c r="J58" i="43" s="1"/>
  <c r="J73" i="43" a="1"/>
  <c r="J73" i="43" s="1"/>
  <c r="J88" i="43" a="1"/>
  <c r="J88" i="43" s="1"/>
  <c r="J103" i="43" a="1"/>
  <c r="J103" i="43" s="1"/>
  <c r="J118" i="43" a="1"/>
  <c r="J118" i="43" s="1"/>
  <c r="K175" i="45"/>
  <c r="K156" i="45"/>
  <c r="K174" i="45"/>
  <c r="J156" i="45"/>
  <c r="J174" i="45"/>
  <c r="I173" i="45"/>
  <c r="I155" i="45"/>
  <c r="K201" i="45"/>
  <c r="K202" i="45" s="1"/>
  <c r="K157" i="45"/>
  <c r="I201" i="45"/>
  <c r="I202" i="45" s="1"/>
  <c r="I175" i="45"/>
  <c r="I157" i="45"/>
  <c r="I193" i="45"/>
  <c r="I45" i="43" l="1" a="1"/>
  <c r="I45" i="43" s="1"/>
  <c r="I60" i="43" a="1"/>
  <c r="I60" i="43" s="1"/>
  <c r="I75" i="43" a="1"/>
  <c r="I75" i="43" s="1"/>
  <c r="I90" i="43" a="1"/>
  <c r="I90" i="43" s="1"/>
  <c r="I105" i="43" a="1"/>
  <c r="I105" i="43" s="1"/>
  <c r="I120" i="43" a="1"/>
  <c r="I120" i="43" s="1"/>
  <c r="J74" i="43" a="1"/>
  <c r="J74" i="43" s="1"/>
  <c r="J59" i="43" a="1"/>
  <c r="J59" i="43" s="1"/>
  <c r="J65" i="43" s="1"/>
  <c r="J44" i="43" a="1"/>
  <c r="J44" i="43" s="1"/>
  <c r="J89" i="43" a="1"/>
  <c r="J89" i="43" s="1"/>
  <c r="J104" i="43" a="1"/>
  <c r="J104" i="43" s="1"/>
  <c r="J119" i="43" a="1"/>
  <c r="J119" i="43" s="1"/>
  <c r="K74" i="69" a="1"/>
  <c r="K74" i="69" s="1"/>
  <c r="K59" i="69" a="1"/>
  <c r="K59" i="69" s="1"/>
  <c r="K44" i="69" a="1"/>
  <c r="K44" i="69" s="1"/>
  <c r="K89" i="69" a="1"/>
  <c r="K89" i="69" s="1"/>
  <c r="K104" i="69" a="1"/>
  <c r="K104" i="69" s="1"/>
  <c r="K119" i="69" a="1"/>
  <c r="K119" i="69" s="1"/>
  <c r="K45" i="43" a="1"/>
  <c r="K45" i="43" s="1"/>
  <c r="K60" i="43" a="1"/>
  <c r="K60" i="43" s="1"/>
  <c r="K75" i="43" a="1"/>
  <c r="K75" i="43" s="1"/>
  <c r="K90" i="43" a="1"/>
  <c r="K90" i="43" s="1"/>
  <c r="K105" i="43" a="1"/>
  <c r="K105" i="43" s="1"/>
  <c r="K120" i="43" a="1"/>
  <c r="K120" i="43" s="1"/>
  <c r="I45" i="69" a="1"/>
  <c r="I45" i="69" s="1"/>
  <c r="I60" i="69" a="1"/>
  <c r="I60" i="69" s="1"/>
  <c r="I75" i="69" a="1"/>
  <c r="I75" i="69" s="1"/>
  <c r="I90" i="69" a="1"/>
  <c r="I90" i="69" s="1"/>
  <c r="I105" i="69" a="1"/>
  <c r="I105" i="69" s="1"/>
  <c r="I120" i="69" a="1"/>
  <c r="I120" i="69" s="1"/>
  <c r="K45" i="69" a="1"/>
  <c r="K45" i="69" s="1"/>
  <c r="K75" i="69" a="1"/>
  <c r="K75" i="69" s="1"/>
  <c r="K60" i="69" a="1"/>
  <c r="K60" i="69" s="1"/>
  <c r="K90" i="69" a="1"/>
  <c r="K90" i="69" s="1"/>
  <c r="K105" i="69" a="1"/>
  <c r="K105" i="69" s="1"/>
  <c r="K120" i="69" a="1"/>
  <c r="K120" i="69" s="1"/>
  <c r="J59" i="69" a="1"/>
  <c r="J59" i="69" s="1"/>
  <c r="J65" i="69" s="1"/>
  <c r="J17" i="69" s="1"/>
  <c r="J74" i="69" a="1"/>
  <c r="J74" i="69" s="1"/>
  <c r="J80" i="69" s="1"/>
  <c r="J18" i="69" s="1"/>
  <c r="J44" i="69" a="1"/>
  <c r="J44" i="69" s="1"/>
  <c r="J50" i="69" s="1"/>
  <c r="J16" i="69" s="1"/>
  <c r="J89" i="69" a="1"/>
  <c r="J89" i="69" s="1"/>
  <c r="J95" i="69" s="1"/>
  <c r="J19" i="69" s="1"/>
  <c r="J104" i="69" a="1"/>
  <c r="J104" i="69" s="1"/>
  <c r="J119" i="69" a="1"/>
  <c r="J119" i="69" s="1"/>
  <c r="K74" i="43" a="1"/>
  <c r="K74" i="43" s="1"/>
  <c r="K59" i="43" a="1"/>
  <c r="K59" i="43" s="1"/>
  <c r="K44" i="43" a="1"/>
  <c r="K44" i="43" s="1"/>
  <c r="K89" i="43" a="1"/>
  <c r="K89" i="43" s="1"/>
  <c r="K104" i="43" a="1"/>
  <c r="K104" i="43" s="1"/>
  <c r="K119" i="43" a="1"/>
  <c r="K119" i="43" s="1"/>
  <c r="I43" i="43" a="1"/>
  <c r="I43" i="43" s="1"/>
  <c r="I58" i="43" a="1"/>
  <c r="I58" i="43" s="1"/>
  <c r="I73" i="43" a="1"/>
  <c r="I73" i="43" s="1"/>
  <c r="I88" i="43" a="1"/>
  <c r="I88" i="43" s="1"/>
  <c r="I103" i="43" a="1"/>
  <c r="I103" i="43" s="1"/>
  <c r="I118" i="43" a="1"/>
  <c r="I118" i="43" s="1"/>
  <c r="I43" i="69" a="1"/>
  <c r="I43" i="69" s="1"/>
  <c r="I58" i="69" a="1"/>
  <c r="I58" i="69" s="1"/>
  <c r="I73" i="69" a="1"/>
  <c r="I73" i="69" s="1"/>
  <c r="I88" i="69" a="1"/>
  <c r="I88" i="69" s="1"/>
  <c r="I103" i="69" a="1"/>
  <c r="I103" i="69" s="1"/>
  <c r="I118" i="69" a="1"/>
  <c r="I118" i="69" s="1"/>
  <c r="J110" i="69"/>
  <c r="J20" i="69" s="1"/>
  <c r="J125" i="69"/>
  <c r="J21" i="69" s="1"/>
  <c r="E46" i="46"/>
  <c r="E53" i="46"/>
  <c r="E44" i="46"/>
  <c r="E50" i="46"/>
  <c r="E51" i="46"/>
  <c r="E48" i="46"/>
  <c r="E54" i="46"/>
  <c r="E45" i="46"/>
  <c r="E52" i="46"/>
  <c r="E41" i="46"/>
  <c r="E49" i="46"/>
  <c r="E47" i="46"/>
  <c r="E42" i="46"/>
  <c r="E43" i="46"/>
  <c r="I194" i="45"/>
  <c r="K158" i="45"/>
  <c r="K176" i="45"/>
  <c r="I156" i="45"/>
  <c r="I174" i="45"/>
  <c r="I176" i="45"/>
  <c r="I158" i="45"/>
  <c r="D155" i="45"/>
  <c r="I61" i="69" l="1" a="1"/>
  <c r="I61" i="69" s="1"/>
  <c r="I76" i="69" a="1"/>
  <c r="I76" i="69" s="1"/>
  <c r="I91" i="69" a="1"/>
  <c r="I91" i="69" s="1"/>
  <c r="I106" i="69" a="1"/>
  <c r="I106" i="69" s="1"/>
  <c r="I46" i="69" a="1"/>
  <c r="I46" i="69" s="1"/>
  <c r="I121" i="69" a="1"/>
  <c r="I121" i="69" s="1"/>
  <c r="K76" i="69" a="1"/>
  <c r="K76" i="69" s="1"/>
  <c r="K80" i="69" s="1"/>
  <c r="K18" i="69" s="1"/>
  <c r="K61" i="69" a="1"/>
  <c r="K61" i="69" s="1"/>
  <c r="K65" i="69" s="1"/>
  <c r="K17" i="69" s="1"/>
  <c r="K91" i="69" a="1"/>
  <c r="K91" i="69" s="1"/>
  <c r="K95" i="69" s="1"/>
  <c r="K19" i="69" s="1"/>
  <c r="K46" i="69" a="1"/>
  <c r="K46" i="69" s="1"/>
  <c r="K50" i="69" s="1"/>
  <c r="K16" i="69" s="1"/>
  <c r="K106" i="69" a="1"/>
  <c r="K106" i="69" s="1"/>
  <c r="K121" i="69" a="1"/>
  <c r="K121" i="69" s="1"/>
  <c r="I74" i="69" a="1"/>
  <c r="I74" i="69" s="1"/>
  <c r="I59" i="69" a="1"/>
  <c r="I59" i="69" s="1"/>
  <c r="F59" i="69" s="1"/>
  <c r="I44" i="69" a="1"/>
  <c r="I44" i="69" s="1"/>
  <c r="F44" i="69" s="1"/>
  <c r="I89" i="69" a="1"/>
  <c r="I89" i="69" s="1"/>
  <c r="F89" i="69" s="1"/>
  <c r="I104" i="69" a="1"/>
  <c r="I104" i="69" s="1"/>
  <c r="I119" i="69" a="1"/>
  <c r="I119" i="69" s="1"/>
  <c r="F119" i="69" s="1"/>
  <c r="D156" i="45"/>
  <c r="I74" i="43" a="1"/>
  <c r="I74" i="43" s="1"/>
  <c r="I59" i="43" a="1"/>
  <c r="I59" i="43" s="1"/>
  <c r="I89" i="43" a="1"/>
  <c r="I89" i="43" s="1"/>
  <c r="I44" i="43" a="1"/>
  <c r="I44" i="43" s="1"/>
  <c r="I104" i="43" a="1"/>
  <c r="I104" i="43" s="1"/>
  <c r="I119" i="43" a="1"/>
  <c r="I119" i="43" s="1"/>
  <c r="K76" i="43" a="1"/>
  <c r="K76" i="43" s="1"/>
  <c r="K61" i="43" a="1"/>
  <c r="K61" i="43" s="1"/>
  <c r="K65" i="43" s="1"/>
  <c r="K17" i="43" s="1"/>
  <c r="K91" i="43" a="1"/>
  <c r="K91" i="43" s="1"/>
  <c r="K46" i="43" a="1"/>
  <c r="K46" i="43" s="1"/>
  <c r="K106" i="43" a="1"/>
  <c r="K106" i="43" s="1"/>
  <c r="K121" i="43" a="1"/>
  <c r="K121" i="43" s="1"/>
  <c r="I61" i="43" a="1"/>
  <c r="I61" i="43" s="1"/>
  <c r="I76" i="43" a="1"/>
  <c r="I76" i="43" s="1"/>
  <c r="I46" i="43" a="1"/>
  <c r="I46" i="43" s="1"/>
  <c r="I91" i="43" a="1"/>
  <c r="I91" i="43" s="1"/>
  <c r="I106" i="43" a="1"/>
  <c r="I106" i="43" s="1"/>
  <c r="I121" i="43" a="1"/>
  <c r="I121" i="43" s="1"/>
  <c r="F60" i="69"/>
  <c r="F120" i="69"/>
  <c r="F105" i="69"/>
  <c r="F90" i="69"/>
  <c r="F118" i="69"/>
  <c r="F103" i="69"/>
  <c r="F75" i="69"/>
  <c r="F74" i="69"/>
  <c r="F104" i="69"/>
  <c r="K110" i="69"/>
  <c r="K20" i="69" s="1"/>
  <c r="K125" i="69"/>
  <c r="K21" i="69" s="1"/>
  <c r="J22" i="69"/>
  <c r="F88" i="69"/>
  <c r="F73" i="69"/>
  <c r="F45" i="69"/>
  <c r="F58" i="69"/>
  <c r="F43" i="69"/>
  <c r="I162" i="45"/>
  <c r="D19" i="45"/>
  <c r="D29" i="45" s="1"/>
  <c r="D16" i="45"/>
  <c r="D26" i="45" s="1"/>
  <c r="F61" i="69" l="1"/>
  <c r="F65" i="69" s="1"/>
  <c r="F106" i="69"/>
  <c r="F110" i="69" s="1"/>
  <c r="F91" i="69"/>
  <c r="F95" i="69" s="1"/>
  <c r="F46" i="69"/>
  <c r="F50" i="69" s="1"/>
  <c r="I50" i="69"/>
  <c r="I16" i="69" s="1"/>
  <c r="F16" i="69" s="1"/>
  <c r="K22" i="69"/>
  <c r="K27" i="69" s="1"/>
  <c r="AC33" i="80" s="1"/>
  <c r="F121" i="69"/>
  <c r="F125" i="69" s="1"/>
  <c r="I65" i="69"/>
  <c r="I17" i="69" s="1"/>
  <c r="F17" i="69" s="1"/>
  <c r="I95" i="69"/>
  <c r="I19" i="69" s="1"/>
  <c r="F19" i="69" s="1"/>
  <c r="J30" i="69"/>
  <c r="J32" i="69"/>
  <c r="J29" i="69"/>
  <c r="J28" i="69"/>
  <c r="J27" i="69"/>
  <c r="AC26" i="80" s="1"/>
  <c r="J31" i="69"/>
  <c r="I110" i="69"/>
  <c r="I20" i="69" s="1"/>
  <c r="F20" i="69" s="1"/>
  <c r="I125" i="69"/>
  <c r="I21" i="69" s="1"/>
  <c r="F76" i="69"/>
  <c r="F80" i="69" s="1"/>
  <c r="I80" i="69"/>
  <c r="I18" i="69" s="1"/>
  <c r="F18" i="69" s="1"/>
  <c r="D158" i="45"/>
  <c r="I193" i="51" l="1"/>
  <c r="AG26" i="80"/>
  <c r="I64" i="51"/>
  <c r="AD26" i="80"/>
  <c r="I236" i="51"/>
  <c r="AH26" i="80"/>
  <c r="I107" i="51"/>
  <c r="AE26" i="80"/>
  <c r="I150" i="51"/>
  <c r="AF26" i="80"/>
  <c r="K29" i="69"/>
  <c r="K31" i="69"/>
  <c r="K30" i="69"/>
  <c r="K32" i="69"/>
  <c r="K28" i="69"/>
  <c r="I22" i="69"/>
  <c r="F21" i="69"/>
  <c r="I21" i="51"/>
  <c r="J33" i="69"/>
  <c r="J21" i="51"/>
  <c r="D157" i="45"/>
  <c r="D162" i="45" s="1"/>
  <c r="K162" i="45"/>
  <c r="J193" i="51" l="1"/>
  <c r="AG33" i="80"/>
  <c r="J236" i="51"/>
  <c r="AH33" i="80"/>
  <c r="J107" i="51"/>
  <c r="AE33" i="80"/>
  <c r="AI26" i="80"/>
  <c r="J64" i="51"/>
  <c r="AD33" i="80"/>
  <c r="J150" i="51"/>
  <c r="AF33" i="80"/>
  <c r="K33" i="69"/>
  <c r="F22" i="69"/>
  <c r="F32" i="69" s="1"/>
  <c r="I28" i="69"/>
  <c r="I30" i="69"/>
  <c r="I27" i="69"/>
  <c r="AC19" i="80" s="1"/>
  <c r="I32" i="69"/>
  <c r="I31" i="69"/>
  <c r="I29" i="69"/>
  <c r="K163" i="45"/>
  <c r="J23" i="46" s="1"/>
  <c r="M20" i="80" s="1"/>
  <c r="J97" i="45"/>
  <c r="I20" i="46" s="1"/>
  <c r="K97" i="45"/>
  <c r="J20" i="46" s="1"/>
  <c r="L97" i="45"/>
  <c r="K20" i="46" s="1"/>
  <c r="I97" i="45"/>
  <c r="H20" i="46" s="1"/>
  <c r="M20" i="46" s="1"/>
  <c r="L163" i="45"/>
  <c r="K23" i="46" s="1"/>
  <c r="N20" i="80" s="1"/>
  <c r="I163" i="45"/>
  <c r="H23" i="46" s="1"/>
  <c r="J162" i="45"/>
  <c r="AI33" i="80" l="1"/>
  <c r="H64" i="51"/>
  <c r="AD19" i="80"/>
  <c r="H150" i="51"/>
  <c r="AF19" i="80"/>
  <c r="H107" i="51"/>
  <c r="AE19" i="80"/>
  <c r="H193" i="51"/>
  <c r="AG19" i="80"/>
  <c r="H236" i="51"/>
  <c r="AH19" i="80"/>
  <c r="K20" i="80"/>
  <c r="H21" i="51"/>
  <c r="I33" i="69"/>
  <c r="F33" i="69"/>
  <c r="F29" i="69"/>
  <c r="F27" i="69"/>
  <c r="F30" i="69"/>
  <c r="F31" i="69"/>
  <c r="F28" i="69"/>
  <c r="J163" i="45"/>
  <c r="I23" i="46" s="1"/>
  <c r="L20" i="80" s="1"/>
  <c r="AI19" i="80" l="1"/>
  <c r="AK19" i="80" s="1"/>
  <c r="M23" i="46"/>
  <c r="O20" i="80"/>
  <c r="Q20" i="80" s="1"/>
  <c r="D170" i="45"/>
  <c r="D174" i="45"/>
  <c r="D173" i="45"/>
  <c r="D171" i="45"/>
  <c r="D172" i="45"/>
  <c r="D178" i="45"/>
  <c r="D177" i="45"/>
  <c r="D175" i="45"/>
  <c r="D176" i="45"/>
  <c r="I180" i="45"/>
  <c r="K180" i="45"/>
  <c r="L180" i="45"/>
  <c r="J180" i="45"/>
  <c r="D180" i="45" l="1"/>
  <c r="C23" i="69" s="1"/>
  <c r="D25" i="4" s="1"/>
  <c r="J181" i="45" l="1"/>
  <c r="I24" i="46" s="1"/>
  <c r="L21" i="80" s="1"/>
  <c r="K181" i="45"/>
  <c r="J24" i="46" s="1"/>
  <c r="M21" i="80" s="1"/>
  <c r="L181" i="45"/>
  <c r="K24" i="46" s="1"/>
  <c r="N21" i="80" s="1"/>
  <c r="I181" i="45"/>
  <c r="H24" i="46" s="1"/>
  <c r="K21" i="80" l="1"/>
  <c r="O21" i="80" s="1"/>
  <c r="Q21" i="80" s="1"/>
  <c r="M24" i="46"/>
  <c r="B143" i="45"/>
  <c r="B142" i="45"/>
  <c r="B141" i="45"/>
  <c r="B140" i="45"/>
  <c r="B139" i="45"/>
  <c r="B138" i="45"/>
  <c r="I134" i="45"/>
  <c r="B133" i="45"/>
  <c r="B132" i="45"/>
  <c r="B131" i="45"/>
  <c r="B130" i="45"/>
  <c r="B129" i="45"/>
  <c r="L134" i="45"/>
  <c r="K134" i="45"/>
  <c r="J134" i="45"/>
  <c r="B128" i="45"/>
  <c r="D134" i="45" l="1"/>
  <c r="I141" i="45"/>
  <c r="H148" i="51" s="1"/>
  <c r="I138" i="45"/>
  <c r="H19" i="51" s="1"/>
  <c r="J138" i="45"/>
  <c r="I19" i="51" s="1"/>
  <c r="J139" i="45"/>
  <c r="I62" i="51" s="1"/>
  <c r="J140" i="45"/>
  <c r="I105" i="51" s="1"/>
  <c r="J141" i="45"/>
  <c r="I148" i="51" s="1"/>
  <c r="J142" i="45"/>
  <c r="I191" i="51" s="1"/>
  <c r="J143" i="45"/>
  <c r="I234" i="51" s="1"/>
  <c r="K138" i="45"/>
  <c r="J19" i="51" s="1"/>
  <c r="K139" i="45"/>
  <c r="J62" i="51" s="1"/>
  <c r="K140" i="45"/>
  <c r="J105" i="51" s="1"/>
  <c r="K141" i="45"/>
  <c r="J148" i="51" s="1"/>
  <c r="K142" i="45"/>
  <c r="J191" i="51" s="1"/>
  <c r="K143" i="45"/>
  <c r="J234" i="51" s="1"/>
  <c r="L138" i="45"/>
  <c r="K19" i="51" s="1"/>
  <c r="L139" i="45"/>
  <c r="K62" i="51" s="1"/>
  <c r="L140" i="45"/>
  <c r="K105" i="51" s="1"/>
  <c r="L141" i="45"/>
  <c r="K148" i="51" s="1"/>
  <c r="L142" i="45"/>
  <c r="K191" i="51" s="1"/>
  <c r="L143" i="45"/>
  <c r="K234" i="51" s="1"/>
  <c r="I139" i="45"/>
  <c r="H62" i="51" s="1"/>
  <c r="I140" i="45"/>
  <c r="H105" i="51" s="1"/>
  <c r="I142" i="45"/>
  <c r="H191" i="51" s="1"/>
  <c r="I143" i="45"/>
  <c r="H234" i="51" s="1"/>
  <c r="I144" i="45" l="1"/>
  <c r="K144" i="45"/>
  <c r="L144" i="45"/>
  <c r="J144" i="45"/>
  <c r="K135" i="45" l="1"/>
  <c r="J22" i="46" s="1"/>
  <c r="M19" i="80" s="1"/>
  <c r="I135" i="45"/>
  <c r="H22" i="46" s="1"/>
  <c r="L135" i="45"/>
  <c r="K22" i="46" s="1"/>
  <c r="N19" i="80" s="1"/>
  <c r="J135" i="45"/>
  <c r="I22" i="46" s="1"/>
  <c r="L19" i="80" s="1"/>
  <c r="D144" i="45"/>
  <c r="D138" i="45"/>
  <c r="D141" i="45"/>
  <c r="D140" i="45"/>
  <c r="D142" i="45"/>
  <c r="D139" i="45"/>
  <c r="D143" i="45"/>
  <c r="M22" i="46" l="1"/>
  <c r="H42" i="46"/>
  <c r="AI17" i="80"/>
  <c r="AK17" i="80" s="1"/>
  <c r="K19" i="80"/>
  <c r="B119" i="45"/>
  <c r="B118" i="45"/>
  <c r="B117" i="45"/>
  <c r="B116" i="45"/>
  <c r="B115" i="45"/>
  <c r="B114" i="45"/>
  <c r="L110" i="45"/>
  <c r="K110" i="45"/>
  <c r="J110" i="45"/>
  <c r="B109" i="45"/>
  <c r="B108" i="45"/>
  <c r="B107" i="45"/>
  <c r="B106" i="45"/>
  <c r="B105" i="45"/>
  <c r="B104" i="45"/>
  <c r="H252" i="51" l="1"/>
  <c r="H166" i="51"/>
  <c r="H209" i="51"/>
  <c r="H123" i="51"/>
  <c r="H37" i="51"/>
  <c r="H80" i="51"/>
  <c r="L115" i="45"/>
  <c r="K61" i="51" s="1"/>
  <c r="L118" i="45"/>
  <c r="K190" i="51" s="1"/>
  <c r="L119" i="45"/>
  <c r="K233" i="51" s="1"/>
  <c r="L116" i="45"/>
  <c r="K104" i="51" s="1"/>
  <c r="L117" i="45"/>
  <c r="K147" i="51" s="1"/>
  <c r="L114" i="45"/>
  <c r="K18" i="51" s="1"/>
  <c r="K115" i="45"/>
  <c r="J61" i="51" s="1"/>
  <c r="K116" i="45"/>
  <c r="J104" i="51" s="1"/>
  <c r="K117" i="45"/>
  <c r="J147" i="51" s="1"/>
  <c r="K114" i="45"/>
  <c r="J18" i="51" s="1"/>
  <c r="K118" i="45"/>
  <c r="J190" i="51" s="1"/>
  <c r="K119" i="45"/>
  <c r="J233" i="51" s="1"/>
  <c r="J115" i="45"/>
  <c r="I61" i="51" s="1"/>
  <c r="J116" i="45"/>
  <c r="I104" i="51" s="1"/>
  <c r="J117" i="45"/>
  <c r="I147" i="51" s="1"/>
  <c r="J118" i="45"/>
  <c r="I190" i="51" s="1"/>
  <c r="J119" i="45"/>
  <c r="I233" i="51" s="1"/>
  <c r="J114" i="45"/>
  <c r="I18" i="51" s="1"/>
  <c r="J120" i="45" l="1"/>
  <c r="L120" i="45" l="1"/>
  <c r="K120" i="45"/>
  <c r="B21" i="29" l="1"/>
  <c r="B20" i="29"/>
  <c r="B19" i="29"/>
  <c r="B14" i="29"/>
  <c r="B42" i="69" l="1"/>
  <c r="B57" i="69" s="1"/>
  <c r="B72" i="69" s="1"/>
  <c r="B87" i="69" s="1"/>
  <c r="B102" i="69" s="1"/>
  <c r="B117" i="69" s="1"/>
  <c r="B42" i="43"/>
  <c r="B57" i="43" s="1"/>
  <c r="B72" i="43" s="1"/>
  <c r="B87" i="43" s="1"/>
  <c r="B102" i="43" s="1"/>
  <c r="B117" i="43" s="1"/>
  <c r="B48" i="69"/>
  <c r="B63" i="69" s="1"/>
  <c r="B78" i="69" s="1"/>
  <c r="B93" i="69" s="1"/>
  <c r="B108" i="69" s="1"/>
  <c r="B123" i="69" s="1"/>
  <c r="B48" i="43"/>
  <c r="B63" i="43" s="1"/>
  <c r="B78" i="43" s="1"/>
  <c r="B93" i="43" s="1"/>
  <c r="B108" i="43" s="1"/>
  <c r="B123" i="43" s="1"/>
  <c r="B47" i="43"/>
  <c r="B62" i="43" s="1"/>
  <c r="B77" i="43" s="1"/>
  <c r="B92" i="43" s="1"/>
  <c r="B107" i="43" s="1"/>
  <c r="B122" i="43" s="1"/>
  <c r="B47" i="69"/>
  <c r="B62" i="69" s="1"/>
  <c r="B77" i="69" s="1"/>
  <c r="B92" i="69" s="1"/>
  <c r="B107" i="69" s="1"/>
  <c r="B122" i="69" s="1"/>
  <c r="B49" i="69"/>
  <c r="B64" i="69" s="1"/>
  <c r="B79" i="69" s="1"/>
  <c r="B94" i="69" s="1"/>
  <c r="B109" i="69" s="1"/>
  <c r="B124" i="69" s="1"/>
  <c r="B49" i="43"/>
  <c r="B64" i="43" s="1"/>
  <c r="B79" i="43" s="1"/>
  <c r="B94" i="43" s="1"/>
  <c r="B109" i="43" s="1"/>
  <c r="B124" i="43" s="1"/>
  <c r="B18" i="29"/>
  <c r="B17" i="29"/>
  <c r="B16" i="29"/>
  <c r="B15" i="29"/>
  <c r="B13" i="29"/>
  <c r="B12" i="29"/>
  <c r="B44" i="69" l="1"/>
  <c r="B59" i="69" s="1"/>
  <c r="B74" i="69" s="1"/>
  <c r="B89" i="69" s="1"/>
  <c r="B104" i="69" s="1"/>
  <c r="B119" i="69" s="1"/>
  <c r="B44" i="43"/>
  <c r="B59" i="43" s="1"/>
  <c r="B74" i="43" s="1"/>
  <c r="B89" i="43" s="1"/>
  <c r="B104" i="43" s="1"/>
  <c r="B119" i="43" s="1"/>
  <c r="B40" i="69"/>
  <c r="B55" i="69" s="1"/>
  <c r="B70" i="69" s="1"/>
  <c r="B85" i="69" s="1"/>
  <c r="B100" i="69" s="1"/>
  <c r="B115" i="69" s="1"/>
  <c r="B40" i="43"/>
  <c r="B55" i="43" s="1"/>
  <c r="B70" i="43" s="1"/>
  <c r="B85" i="43" s="1"/>
  <c r="B100" i="43" s="1"/>
  <c r="B115" i="43" s="1"/>
  <c r="B43" i="43"/>
  <c r="B58" i="43" s="1"/>
  <c r="B73" i="43" s="1"/>
  <c r="B88" i="43" s="1"/>
  <c r="B103" i="43" s="1"/>
  <c r="B118" i="43" s="1"/>
  <c r="B43" i="69"/>
  <c r="B58" i="69" s="1"/>
  <c r="B73" i="69" s="1"/>
  <c r="B88" i="69" s="1"/>
  <c r="B103" i="69" s="1"/>
  <c r="B118" i="69" s="1"/>
  <c r="B45" i="69"/>
  <c r="B60" i="69" s="1"/>
  <c r="B75" i="69" s="1"/>
  <c r="B90" i="69" s="1"/>
  <c r="B105" i="69" s="1"/>
  <c r="B120" i="69" s="1"/>
  <c r="B45" i="43"/>
  <c r="B60" i="43" s="1"/>
  <c r="B75" i="43" s="1"/>
  <c r="B90" i="43" s="1"/>
  <c r="B105" i="43" s="1"/>
  <c r="B120" i="43" s="1"/>
  <c r="B41" i="69"/>
  <c r="B56" i="69" s="1"/>
  <c r="B71" i="69" s="1"/>
  <c r="B86" i="69" s="1"/>
  <c r="B101" i="69" s="1"/>
  <c r="B116" i="69" s="1"/>
  <c r="B41" i="43"/>
  <c r="B56" i="43" s="1"/>
  <c r="B71" i="43" s="1"/>
  <c r="B86" i="43" s="1"/>
  <c r="B101" i="43" s="1"/>
  <c r="B116" i="43" s="1"/>
  <c r="B46" i="69"/>
  <c r="B61" i="69" s="1"/>
  <c r="B76" i="69" s="1"/>
  <c r="B91" i="69" s="1"/>
  <c r="B106" i="69" s="1"/>
  <c r="B121" i="69" s="1"/>
  <c r="B46" i="43"/>
  <c r="B61" i="43" s="1"/>
  <c r="B76" i="43" s="1"/>
  <c r="B91" i="43" s="1"/>
  <c r="B106" i="43" s="1"/>
  <c r="B121" i="43" s="1"/>
  <c r="B2" i="51"/>
  <c r="B25" i="51" l="1"/>
  <c r="B68" i="51" s="1"/>
  <c r="B111" i="51" l="1"/>
  <c r="B154" i="51" l="1"/>
  <c r="B197" i="51" l="1"/>
  <c r="B240" i="51" l="1"/>
  <c r="B27" i="43" l="1"/>
  <c r="B16" i="43"/>
  <c r="B37" i="43" s="1"/>
  <c r="B30" i="43"/>
  <c r="B19" i="43"/>
  <c r="B82" i="43" s="1"/>
  <c r="B29" i="43"/>
  <c r="B18" i="43"/>
  <c r="B67" i="43" s="1"/>
  <c r="B32" i="43"/>
  <c r="B21" i="43"/>
  <c r="B112" i="43" s="1"/>
  <c r="B28" i="43"/>
  <c r="B17" i="43"/>
  <c r="B52" i="43" s="1"/>
  <c r="B20" i="43"/>
  <c r="B97" i="43" s="1"/>
  <c r="J3" i="45" l="1"/>
  <c r="K3" i="45"/>
  <c r="L3" i="45"/>
  <c r="C13" i="58" l="1"/>
  <c r="B2" i="58"/>
  <c r="J67" i="45" l="1"/>
  <c r="I60" i="51" s="1"/>
  <c r="D61" i="45"/>
  <c r="D56" i="45"/>
  <c r="D17" i="45"/>
  <c r="D27" i="45" s="1"/>
  <c r="D18" i="45"/>
  <c r="D28" i="45" s="1"/>
  <c r="K3" i="51"/>
  <c r="J3" i="51"/>
  <c r="I3" i="51"/>
  <c r="H3" i="51"/>
  <c r="B3" i="51"/>
  <c r="AI14" i="80" l="1"/>
  <c r="AK14" i="80" s="1"/>
  <c r="L26" i="45"/>
  <c r="K16" i="51" s="1"/>
  <c r="L27" i="45"/>
  <c r="K59" i="51" s="1"/>
  <c r="L28" i="45"/>
  <c r="K102" i="51" s="1"/>
  <c r="L29" i="45"/>
  <c r="K145" i="51" s="1"/>
  <c r="L30" i="45"/>
  <c r="K188" i="51" s="1"/>
  <c r="L31" i="45"/>
  <c r="K231" i="51" s="1"/>
  <c r="K67" i="45"/>
  <c r="J60" i="51" s="1"/>
  <c r="K69" i="45"/>
  <c r="J146" i="51" s="1"/>
  <c r="K71" i="45"/>
  <c r="J232" i="51" s="1"/>
  <c r="K70" i="45"/>
  <c r="J189" i="51" s="1"/>
  <c r="K68" i="45"/>
  <c r="J103" i="51" s="1"/>
  <c r="J69" i="45"/>
  <c r="I146" i="51" s="1"/>
  <c r="J71" i="45"/>
  <c r="I232" i="51" s="1"/>
  <c r="J68" i="45"/>
  <c r="I103" i="51" s="1"/>
  <c r="J70" i="45"/>
  <c r="I189" i="51" s="1"/>
  <c r="K26" i="45"/>
  <c r="J16" i="51" s="1"/>
  <c r="K27" i="45"/>
  <c r="J59" i="51" s="1"/>
  <c r="K28" i="45"/>
  <c r="J102" i="51" s="1"/>
  <c r="K29" i="45"/>
  <c r="J145" i="51" s="1"/>
  <c r="K30" i="45"/>
  <c r="J188" i="51" s="1"/>
  <c r="K31" i="45"/>
  <c r="J231" i="51" s="1"/>
  <c r="L68" i="45"/>
  <c r="K103" i="51" s="1"/>
  <c r="L70" i="45"/>
  <c r="K189" i="51" s="1"/>
  <c r="L69" i="45"/>
  <c r="K146" i="51" s="1"/>
  <c r="L71" i="45"/>
  <c r="K232" i="51" s="1"/>
  <c r="J27" i="45"/>
  <c r="I59" i="51" s="1"/>
  <c r="J28" i="45"/>
  <c r="I102" i="51" s="1"/>
  <c r="J29" i="45"/>
  <c r="I145" i="51" s="1"/>
  <c r="J30" i="45"/>
  <c r="I188" i="51" s="1"/>
  <c r="J31" i="45"/>
  <c r="I231" i="51" s="1"/>
  <c r="J26" i="45"/>
  <c r="I16" i="51" s="1"/>
  <c r="I29" i="45"/>
  <c r="H145" i="51" s="1"/>
  <c r="I31" i="45"/>
  <c r="H231" i="51" s="1"/>
  <c r="I28" i="45"/>
  <c r="H102" i="51" s="1"/>
  <c r="I30" i="45"/>
  <c r="H188" i="51" s="1"/>
  <c r="A27" i="51"/>
  <c r="A46" i="51"/>
  <c r="A25" i="51"/>
  <c r="A26" i="51"/>
  <c r="A47" i="51"/>
  <c r="A49" i="51"/>
  <c r="A45" i="51"/>
  <c r="B23" i="51"/>
  <c r="A48" i="51"/>
  <c r="L32" i="45" l="1"/>
  <c r="B2" i="49"/>
  <c r="K3" i="46"/>
  <c r="J3" i="46"/>
  <c r="I3" i="46"/>
  <c r="H3" i="46"/>
  <c r="B3" i="46"/>
  <c r="B2" i="46"/>
  <c r="K26" i="46" l="1"/>
  <c r="K12" i="46"/>
  <c r="H12" i="46"/>
  <c r="H26" i="46"/>
  <c r="I26" i="46"/>
  <c r="I12" i="46"/>
  <c r="J26" i="46"/>
  <c r="J12" i="46"/>
  <c r="B26" i="46"/>
  <c r="H50" i="46" l="1"/>
  <c r="I50" i="46"/>
  <c r="J50" i="46"/>
  <c r="K50" i="46"/>
  <c r="H54" i="46"/>
  <c r="I54" i="46"/>
  <c r="J54" i="46"/>
  <c r="K54" i="46"/>
  <c r="H53" i="46"/>
  <c r="I53" i="46"/>
  <c r="J53" i="46"/>
  <c r="K53" i="46"/>
  <c r="H41" i="46"/>
  <c r="I41" i="46"/>
  <c r="J41" i="46"/>
  <c r="K41" i="46"/>
  <c r="H46" i="46"/>
  <c r="I46" i="46"/>
  <c r="J46" i="46"/>
  <c r="K46" i="46"/>
  <c r="I42" i="46"/>
  <c r="J42" i="46"/>
  <c r="K42" i="46"/>
  <c r="K80" i="51" l="1"/>
  <c r="K252" i="51"/>
  <c r="K166" i="51"/>
  <c r="K123" i="51"/>
  <c r="K37" i="51"/>
  <c r="K209" i="51"/>
  <c r="J80" i="51"/>
  <c r="J252" i="51"/>
  <c r="J166" i="51"/>
  <c r="J123" i="51"/>
  <c r="J37" i="51"/>
  <c r="J209" i="51"/>
  <c r="I80" i="51"/>
  <c r="I252" i="51"/>
  <c r="I166" i="51"/>
  <c r="I123" i="51"/>
  <c r="I37" i="51"/>
  <c r="I209" i="51"/>
  <c r="K88" i="51"/>
  <c r="K260" i="51"/>
  <c r="K174" i="51"/>
  <c r="K217" i="51"/>
  <c r="K131" i="51"/>
  <c r="K45" i="51"/>
  <c r="J88" i="51"/>
  <c r="J260" i="51"/>
  <c r="J174" i="51"/>
  <c r="J131" i="51"/>
  <c r="J45" i="51"/>
  <c r="J217" i="51"/>
  <c r="I88" i="51"/>
  <c r="I260" i="51"/>
  <c r="I174" i="51"/>
  <c r="I131" i="51"/>
  <c r="I45" i="51"/>
  <c r="I217" i="51"/>
  <c r="H260" i="51"/>
  <c r="H45" i="51"/>
  <c r="B71" i="45"/>
  <c r="B70" i="45"/>
  <c r="B69" i="45"/>
  <c r="B68" i="45"/>
  <c r="B67" i="45"/>
  <c r="B66" i="45"/>
  <c r="B61" i="45"/>
  <c r="B60" i="45"/>
  <c r="B59" i="45"/>
  <c r="B58" i="45"/>
  <c r="B57" i="45"/>
  <c r="B56" i="45"/>
  <c r="B31" i="45"/>
  <c r="B30" i="45"/>
  <c r="B29" i="45"/>
  <c r="B28" i="45"/>
  <c r="B27" i="45"/>
  <c r="B26" i="45"/>
  <c r="B21" i="45"/>
  <c r="B20" i="45"/>
  <c r="B19" i="45"/>
  <c r="B18" i="45"/>
  <c r="B17" i="45"/>
  <c r="B16" i="45"/>
  <c r="I89" i="45" l="1"/>
  <c r="H19" i="46" s="1"/>
  <c r="K89" i="45"/>
  <c r="J19" i="46" s="1"/>
  <c r="J49" i="46" s="1"/>
  <c r="L89" i="45"/>
  <c r="K19" i="46" s="1"/>
  <c r="K49" i="46" s="1"/>
  <c r="J89" i="45"/>
  <c r="I19" i="46" s="1"/>
  <c r="I49" i="46" s="1"/>
  <c r="I81" i="45"/>
  <c r="H18" i="46" s="1"/>
  <c r="L81" i="45"/>
  <c r="K18" i="46" s="1"/>
  <c r="J81" i="45"/>
  <c r="I18" i="46" s="1"/>
  <c r="K81" i="45"/>
  <c r="J18" i="46" s="1"/>
  <c r="K72" i="45"/>
  <c r="L72" i="45"/>
  <c r="J72" i="45"/>
  <c r="I3" i="45"/>
  <c r="B3" i="45"/>
  <c r="B2" i="45"/>
  <c r="J3" i="43"/>
  <c r="J37" i="43" s="1"/>
  <c r="J52" i="43" s="1"/>
  <c r="J67" i="43" s="1"/>
  <c r="J82" i="43" s="1"/>
  <c r="J97" i="43" s="1"/>
  <c r="J112" i="43" s="1"/>
  <c r="K3" i="43"/>
  <c r="K37" i="43" s="1"/>
  <c r="K52" i="43" s="1"/>
  <c r="K67" i="43" s="1"/>
  <c r="K82" i="43" s="1"/>
  <c r="K97" i="43" s="1"/>
  <c r="K112" i="43" s="1"/>
  <c r="L3" i="43"/>
  <c r="L37" i="43" s="1"/>
  <c r="L52" i="43" s="1"/>
  <c r="L67" i="43" s="1"/>
  <c r="L82" i="43" s="1"/>
  <c r="L97" i="43" s="1"/>
  <c r="L112" i="43" s="1"/>
  <c r="I3" i="43"/>
  <c r="I37" i="43" s="1"/>
  <c r="I52" i="43" s="1"/>
  <c r="I67" i="43" s="1"/>
  <c r="I82" i="43" s="1"/>
  <c r="I97" i="43" s="1"/>
  <c r="I112" i="43" s="1"/>
  <c r="B3" i="43"/>
  <c r="I216" i="51" l="1"/>
  <c r="I130" i="51"/>
  <c r="I44" i="51"/>
  <c r="I259" i="51"/>
  <c r="I173" i="51"/>
  <c r="I87" i="51"/>
  <c r="K173" i="51"/>
  <c r="K87" i="51"/>
  <c r="K259" i="51"/>
  <c r="K216" i="51"/>
  <c r="K130" i="51"/>
  <c r="K44" i="51"/>
  <c r="J87" i="51"/>
  <c r="J216" i="51"/>
  <c r="J130" i="51"/>
  <c r="J44" i="51"/>
  <c r="J259" i="51"/>
  <c r="J173" i="51"/>
  <c r="K48" i="46"/>
  <c r="K47" i="46"/>
  <c r="I48" i="46"/>
  <c r="I47" i="46"/>
  <c r="M18" i="46"/>
  <c r="H48" i="46"/>
  <c r="H47" i="46"/>
  <c r="J48" i="46"/>
  <c r="J47" i="46"/>
  <c r="M19" i="46"/>
  <c r="H49" i="46"/>
  <c r="F46" i="43"/>
  <c r="B2" i="44"/>
  <c r="B2" i="43"/>
  <c r="H258" i="51" l="1"/>
  <c r="H43" i="51"/>
  <c r="I214" i="51"/>
  <c r="I128" i="51"/>
  <c r="I42" i="51"/>
  <c r="I257" i="51"/>
  <c r="I171" i="51"/>
  <c r="I85" i="51"/>
  <c r="I258" i="51"/>
  <c r="I172" i="51"/>
  <c r="I129" i="51"/>
  <c r="I43" i="51"/>
  <c r="I215" i="51"/>
  <c r="I86" i="51"/>
  <c r="K85" i="51"/>
  <c r="K214" i="51"/>
  <c r="K128" i="51"/>
  <c r="K42" i="51"/>
  <c r="K257" i="51"/>
  <c r="K171" i="51"/>
  <c r="K86" i="51"/>
  <c r="K258" i="51"/>
  <c r="K172" i="51"/>
  <c r="K215" i="51"/>
  <c r="K129" i="51"/>
  <c r="K43" i="51"/>
  <c r="H44" i="51"/>
  <c r="H259" i="51"/>
  <c r="J86" i="51"/>
  <c r="J258" i="51"/>
  <c r="J172" i="51"/>
  <c r="J129" i="51"/>
  <c r="J43" i="51"/>
  <c r="J215" i="51"/>
  <c r="J214" i="51"/>
  <c r="J128" i="51"/>
  <c r="J42" i="51"/>
  <c r="J257" i="51"/>
  <c r="J171" i="51"/>
  <c r="J85" i="51"/>
  <c r="H42" i="51"/>
  <c r="H257" i="51"/>
  <c r="K17" i="80"/>
  <c r="L17" i="80"/>
  <c r="N17" i="80"/>
  <c r="M17" i="80"/>
  <c r="F118" i="43"/>
  <c r="F41" i="43"/>
  <c r="F64" i="43"/>
  <c r="F45" i="43"/>
  <c r="F44" i="43"/>
  <c r="F90" i="43"/>
  <c r="F71" i="43"/>
  <c r="F88" i="43"/>
  <c r="F76" i="43"/>
  <c r="L125" i="43"/>
  <c r="L21" i="43" s="1"/>
  <c r="F120" i="43"/>
  <c r="F101" i="43"/>
  <c r="F119" i="43"/>
  <c r="F102" i="43"/>
  <c r="F122" i="43"/>
  <c r="K110" i="43"/>
  <c r="K20" i="43" s="1"/>
  <c r="F87" i="43"/>
  <c r="F124" i="43"/>
  <c r="F105" i="43"/>
  <c r="F115" i="43"/>
  <c r="I125" i="43"/>
  <c r="I21" i="43" s="1"/>
  <c r="F104" i="43"/>
  <c r="F103" i="43"/>
  <c r="J110" i="43"/>
  <c r="J20" i="43" s="1"/>
  <c r="L110" i="43"/>
  <c r="L20" i="43" s="1"/>
  <c r="F116" i="43"/>
  <c r="F117" i="43"/>
  <c r="F121" i="43"/>
  <c r="I110" i="43"/>
  <c r="I20" i="43" s="1"/>
  <c r="F100" i="43"/>
  <c r="F107" i="43"/>
  <c r="J125" i="43"/>
  <c r="J21" i="43" s="1"/>
  <c r="F109" i="43"/>
  <c r="F123" i="43"/>
  <c r="F108" i="43"/>
  <c r="F106" i="43"/>
  <c r="K125" i="43"/>
  <c r="K21" i="43" s="1"/>
  <c r="J80" i="43"/>
  <c r="J18" i="43" s="1"/>
  <c r="F92" i="43"/>
  <c r="I80" i="43"/>
  <c r="I18" i="43" s="1"/>
  <c r="F70" i="43"/>
  <c r="K95" i="43"/>
  <c r="K19" i="43" s="1"/>
  <c r="F86" i="43"/>
  <c r="F75" i="43"/>
  <c r="I95" i="43"/>
  <c r="I19" i="43" s="1"/>
  <c r="F85" i="43"/>
  <c r="F77" i="43"/>
  <c r="F73" i="43"/>
  <c r="L50" i="43"/>
  <c r="L16" i="43" s="1"/>
  <c r="K80" i="43"/>
  <c r="K18" i="43" s="1"/>
  <c r="F79" i="43"/>
  <c r="F94" i="43"/>
  <c r="F78" i="43"/>
  <c r="L95" i="43"/>
  <c r="L19" i="43" s="1"/>
  <c r="L80" i="43"/>
  <c r="L18" i="43" s="1"/>
  <c r="J95" i="43"/>
  <c r="J19" i="43" s="1"/>
  <c r="F93" i="43"/>
  <c r="F91" i="43"/>
  <c r="F89" i="43"/>
  <c r="F72" i="43"/>
  <c r="F74" i="43"/>
  <c r="F48" i="43"/>
  <c r="F60" i="43"/>
  <c r="F49" i="43"/>
  <c r="F42" i="43"/>
  <c r="J17" i="43"/>
  <c r="I50" i="43"/>
  <c r="I16" i="43" s="1"/>
  <c r="F56" i="43"/>
  <c r="F59" i="43"/>
  <c r="F61" i="43"/>
  <c r="I65" i="43"/>
  <c r="I17" i="43" s="1"/>
  <c r="F47" i="43"/>
  <c r="L17" i="43"/>
  <c r="F62" i="43"/>
  <c r="F63" i="43"/>
  <c r="F58" i="43"/>
  <c r="F43" i="43"/>
  <c r="J50" i="43"/>
  <c r="J16" i="43" s="1"/>
  <c r="K50" i="43"/>
  <c r="K16" i="43" s="1"/>
  <c r="K32" i="45"/>
  <c r="I32" i="45"/>
  <c r="B2" i="29"/>
  <c r="F50" i="43" l="1"/>
  <c r="F65" i="43"/>
  <c r="O17" i="80"/>
  <c r="Q17" i="80" s="1"/>
  <c r="O19" i="80"/>
  <c r="Q19" i="80" s="1"/>
  <c r="F110" i="43"/>
  <c r="F125" i="43"/>
  <c r="F80" i="43"/>
  <c r="F95" i="43"/>
  <c r="B2" i="4" l="1"/>
  <c r="L23" i="45" l="1"/>
  <c r="K14" i="46" s="1"/>
  <c r="K23" i="45"/>
  <c r="J14" i="46" s="1"/>
  <c r="I23" i="45"/>
  <c r="H14" i="46" s="1"/>
  <c r="J23" i="45"/>
  <c r="I14" i="46" s="1"/>
  <c r="J32" i="45"/>
  <c r="K14" i="80" l="1"/>
  <c r="M14" i="46"/>
  <c r="H51" i="46"/>
  <c r="H52" i="46"/>
  <c r="H44" i="46"/>
  <c r="H43" i="46"/>
  <c r="L14" i="80"/>
  <c r="I51" i="46"/>
  <c r="I52" i="46"/>
  <c r="I44" i="46"/>
  <c r="I43" i="46"/>
  <c r="M14" i="80"/>
  <c r="J51" i="46"/>
  <c r="J52" i="46"/>
  <c r="J44" i="46"/>
  <c r="J43" i="46"/>
  <c r="N14" i="80"/>
  <c r="K43" i="46"/>
  <c r="K51" i="46"/>
  <c r="K52" i="46"/>
  <c r="K44" i="46"/>
  <c r="K22" i="43"/>
  <c r="J22" i="43"/>
  <c r="L22" i="43"/>
  <c r="I218" i="51" l="1"/>
  <c r="I89" i="51"/>
  <c r="I261" i="51"/>
  <c r="I175" i="51"/>
  <c r="I132" i="51"/>
  <c r="I46" i="51"/>
  <c r="J254" i="51"/>
  <c r="J168" i="51"/>
  <c r="J82" i="51"/>
  <c r="J125" i="51"/>
  <c r="J211" i="51"/>
  <c r="J39" i="51"/>
  <c r="H210" i="51"/>
  <c r="H81" i="51"/>
  <c r="H253" i="51"/>
  <c r="H167" i="51"/>
  <c r="H124" i="51"/>
  <c r="H38" i="51"/>
  <c r="J210" i="51"/>
  <c r="J81" i="51"/>
  <c r="J253" i="51"/>
  <c r="J167" i="51"/>
  <c r="J124" i="51"/>
  <c r="J38" i="51"/>
  <c r="H254" i="51"/>
  <c r="H168" i="51"/>
  <c r="H82" i="51"/>
  <c r="H211" i="51"/>
  <c r="H125" i="51"/>
  <c r="H39" i="51"/>
  <c r="J262" i="51"/>
  <c r="J176" i="51"/>
  <c r="J133" i="51"/>
  <c r="J90" i="51"/>
  <c r="J47" i="51"/>
  <c r="J219" i="51"/>
  <c r="H262" i="51"/>
  <c r="H176" i="51"/>
  <c r="H90" i="51"/>
  <c r="H219" i="51"/>
  <c r="H133" i="51"/>
  <c r="H47" i="51"/>
  <c r="K133" i="51"/>
  <c r="K47" i="51"/>
  <c r="K219" i="51"/>
  <c r="K262" i="51"/>
  <c r="K176" i="51"/>
  <c r="K90" i="51"/>
  <c r="H218" i="51"/>
  <c r="H89" i="51"/>
  <c r="H261" i="51"/>
  <c r="H175" i="51"/>
  <c r="H132" i="51"/>
  <c r="H46" i="51"/>
  <c r="J218" i="51"/>
  <c r="J89" i="51"/>
  <c r="J261" i="51"/>
  <c r="J175" i="51"/>
  <c r="J132" i="51"/>
  <c r="J46" i="51"/>
  <c r="I210" i="51"/>
  <c r="I81" i="51"/>
  <c r="I253" i="51"/>
  <c r="I167" i="51"/>
  <c r="I124" i="51"/>
  <c r="I38" i="51"/>
  <c r="I254" i="51"/>
  <c r="I168" i="51"/>
  <c r="I82" i="51"/>
  <c r="I211" i="51"/>
  <c r="I125" i="51"/>
  <c r="I39" i="51"/>
  <c r="K125" i="51"/>
  <c r="K39" i="51"/>
  <c r="K254" i="51"/>
  <c r="K168" i="51"/>
  <c r="K82" i="51"/>
  <c r="K211" i="51"/>
  <c r="K46" i="51"/>
  <c r="K218" i="51"/>
  <c r="K89" i="51"/>
  <c r="K132" i="51"/>
  <c r="K175" i="51"/>
  <c r="K261" i="51"/>
  <c r="K38" i="51"/>
  <c r="K210" i="51"/>
  <c r="K81" i="51"/>
  <c r="K167" i="51"/>
  <c r="K253" i="51"/>
  <c r="K124" i="51"/>
  <c r="I262" i="51"/>
  <c r="I176" i="51"/>
  <c r="I90" i="51"/>
  <c r="I219" i="51"/>
  <c r="I133" i="51"/>
  <c r="I47" i="51"/>
  <c r="O14" i="80"/>
  <c r="Q14" i="80" s="1"/>
  <c r="J30" i="43"/>
  <c r="J32" i="43"/>
  <c r="J27" i="43"/>
  <c r="J28" i="43"/>
  <c r="J29" i="43"/>
  <c r="J31" i="43"/>
  <c r="K30" i="43"/>
  <c r="K29" i="43"/>
  <c r="K32" i="43"/>
  <c r="K27" i="43"/>
  <c r="K28" i="43"/>
  <c r="K31" i="43"/>
  <c r="L30" i="43"/>
  <c r="L31" i="43"/>
  <c r="L32" i="43"/>
  <c r="L28" i="43"/>
  <c r="L27" i="43"/>
  <c r="L29" i="43"/>
  <c r="K235" i="51" l="1"/>
  <c r="AH39" i="80"/>
  <c r="K192" i="51"/>
  <c r="AG39" i="80"/>
  <c r="I106" i="51"/>
  <c r="AE25" i="80"/>
  <c r="J192" i="51"/>
  <c r="AG32" i="80"/>
  <c r="I20" i="51"/>
  <c r="AC25" i="80"/>
  <c r="J149" i="51"/>
  <c r="AF32" i="80"/>
  <c r="I192" i="51"/>
  <c r="AG25" i="80"/>
  <c r="K149" i="51"/>
  <c r="K165" i="51" s="1"/>
  <c r="AF39" i="80"/>
  <c r="I63" i="51"/>
  <c r="AD25" i="80"/>
  <c r="K106" i="51"/>
  <c r="AE39" i="80"/>
  <c r="J20" i="51"/>
  <c r="AC32" i="80"/>
  <c r="K20" i="51"/>
  <c r="AC39" i="80"/>
  <c r="AI39" i="80" s="1"/>
  <c r="J235" i="51"/>
  <c r="AH32" i="80"/>
  <c r="I149" i="51"/>
  <c r="AF25" i="80"/>
  <c r="J63" i="51"/>
  <c r="AD32" i="80"/>
  <c r="I235" i="51"/>
  <c r="AH25" i="80"/>
  <c r="K63" i="51"/>
  <c r="AD39" i="80"/>
  <c r="J106" i="51"/>
  <c r="AE32" i="80"/>
  <c r="K251" i="51"/>
  <c r="K256" i="51"/>
  <c r="K263" i="51"/>
  <c r="K264" i="51"/>
  <c r="K178" i="51"/>
  <c r="K170" i="51"/>
  <c r="I213" i="51"/>
  <c r="I208" i="51"/>
  <c r="I220" i="51"/>
  <c r="I221" i="51"/>
  <c r="I134" i="51"/>
  <c r="I127" i="51"/>
  <c r="I135" i="51"/>
  <c r="I122" i="51"/>
  <c r="J208" i="51"/>
  <c r="J213" i="51"/>
  <c r="J220" i="51"/>
  <c r="J221" i="51"/>
  <c r="I84" i="51"/>
  <c r="I79" i="51"/>
  <c r="I91" i="51"/>
  <c r="I92" i="51"/>
  <c r="J84" i="51"/>
  <c r="J79" i="51"/>
  <c r="J92" i="51"/>
  <c r="J91" i="51"/>
  <c r="I48" i="51"/>
  <c r="I49" i="51"/>
  <c r="I36" i="51"/>
  <c r="I41" i="51"/>
  <c r="J178" i="51"/>
  <c r="J165" i="51"/>
  <c r="J170" i="51"/>
  <c r="J177" i="51"/>
  <c r="I251" i="51"/>
  <c r="I256" i="51"/>
  <c r="I263" i="51"/>
  <c r="I264" i="51"/>
  <c r="K122" i="51"/>
  <c r="K134" i="51"/>
  <c r="K127" i="51"/>
  <c r="K135" i="51"/>
  <c r="I165" i="51"/>
  <c r="I170" i="51"/>
  <c r="I177" i="51"/>
  <c r="I178" i="51"/>
  <c r="K221" i="51"/>
  <c r="K220" i="51"/>
  <c r="K213" i="51"/>
  <c r="K208" i="51"/>
  <c r="J49" i="51"/>
  <c r="J48" i="51"/>
  <c r="J36" i="51"/>
  <c r="J41" i="51"/>
  <c r="K41" i="51"/>
  <c r="K36" i="51"/>
  <c r="K48" i="51"/>
  <c r="K49" i="51"/>
  <c r="J264" i="51"/>
  <c r="J251" i="51"/>
  <c r="J256" i="51"/>
  <c r="J263" i="51"/>
  <c r="K92" i="51"/>
  <c r="K84" i="51"/>
  <c r="K91" i="51"/>
  <c r="K79" i="51"/>
  <c r="J135" i="51"/>
  <c r="J134" i="51"/>
  <c r="J122" i="51"/>
  <c r="J127" i="51"/>
  <c r="J33" i="43"/>
  <c r="K33" i="43"/>
  <c r="L33" i="43"/>
  <c r="AI32" i="80" l="1"/>
  <c r="K177" i="51"/>
  <c r="AI25" i="80"/>
  <c r="D60" i="45"/>
  <c r="D59" i="45" l="1"/>
  <c r="D58" i="45" l="1"/>
  <c r="D57" i="45"/>
  <c r="I69" i="45" l="1"/>
  <c r="H146" i="51" s="1"/>
  <c r="I68" i="45"/>
  <c r="H103" i="51" s="1"/>
  <c r="I67" i="45"/>
  <c r="H60" i="51" s="1"/>
  <c r="I70" i="45"/>
  <c r="H189" i="51" s="1"/>
  <c r="H88" i="51" l="1"/>
  <c r="H87" i="51"/>
  <c r="H85" i="51"/>
  <c r="H86" i="51"/>
  <c r="H131" i="51"/>
  <c r="H128" i="51"/>
  <c r="H129" i="51"/>
  <c r="H130" i="51"/>
  <c r="H217" i="51"/>
  <c r="H214" i="51"/>
  <c r="H215" i="51"/>
  <c r="H216" i="51"/>
  <c r="H174" i="51"/>
  <c r="H172" i="51"/>
  <c r="H173" i="51"/>
  <c r="H171" i="51"/>
  <c r="K17" i="46"/>
  <c r="D72" i="45"/>
  <c r="D66" i="45"/>
  <c r="D71" i="45"/>
  <c r="D70" i="45"/>
  <c r="D69" i="45"/>
  <c r="D68" i="45"/>
  <c r="D67" i="45"/>
  <c r="J17" i="46"/>
  <c r="I17" i="46"/>
  <c r="H17" i="46"/>
  <c r="I72" i="45"/>
  <c r="AI15" i="80" l="1"/>
  <c r="AK15" i="80" s="1"/>
  <c r="M17" i="46"/>
  <c r="F17" i="43" l="1"/>
  <c r="F20" i="43"/>
  <c r="F18" i="43" l="1"/>
  <c r="F19" i="43"/>
  <c r="F21" i="43"/>
  <c r="F16" i="43" l="1"/>
  <c r="I22" i="43"/>
  <c r="F22" i="43" l="1"/>
  <c r="F27" i="43" s="1"/>
  <c r="I27" i="43"/>
  <c r="H20" i="51" l="1"/>
  <c r="AC18" i="80"/>
  <c r="H36" i="51"/>
  <c r="H48" i="51"/>
  <c r="H41" i="51"/>
  <c r="H49" i="51"/>
  <c r="F31" i="43"/>
  <c r="C23" i="43"/>
  <c r="D22" i="4" s="1"/>
  <c r="F28" i="43"/>
  <c r="F32" i="43"/>
  <c r="F30" i="43"/>
  <c r="F29" i="43"/>
  <c r="F33" i="43"/>
  <c r="I28" i="43"/>
  <c r="I29" i="43"/>
  <c r="I31" i="43"/>
  <c r="I30" i="43"/>
  <c r="I32" i="43"/>
  <c r="H192" i="51" l="1"/>
  <c r="AG18" i="80"/>
  <c r="H63" i="51"/>
  <c r="AD18" i="80"/>
  <c r="H235" i="51"/>
  <c r="AH18" i="80"/>
  <c r="H106" i="51"/>
  <c r="H127" i="51" s="1"/>
  <c r="AE18" i="80"/>
  <c r="AI18" i="80" s="1"/>
  <c r="AK18" i="80" s="1"/>
  <c r="H149" i="51"/>
  <c r="AF18" i="80"/>
  <c r="H256" i="51"/>
  <c r="H263" i="51"/>
  <c r="H251" i="51"/>
  <c r="H264" i="51"/>
  <c r="H170" i="51"/>
  <c r="H177" i="51"/>
  <c r="H165" i="51"/>
  <c r="H178" i="51"/>
  <c r="H221" i="51"/>
  <c r="H208" i="51"/>
  <c r="H220" i="51"/>
  <c r="H213" i="51"/>
  <c r="H135" i="51"/>
  <c r="H134" i="51"/>
  <c r="H91" i="51"/>
  <c r="H79" i="51"/>
  <c r="H92" i="51"/>
  <c r="H84" i="51"/>
  <c r="I33" i="43"/>
  <c r="H122" i="51" l="1"/>
  <c r="D48" i="45"/>
  <c r="I49" i="45" l="1"/>
  <c r="H16" i="46" s="1"/>
  <c r="J49" i="45"/>
  <c r="I16" i="46" s="1"/>
  <c r="L16" i="80" s="1"/>
  <c r="L49" i="45"/>
  <c r="K16" i="46" s="1"/>
  <c r="N16" i="80" s="1"/>
  <c r="K49" i="45"/>
  <c r="J16" i="46" s="1"/>
  <c r="M16" i="80" s="1"/>
  <c r="K16" i="80" l="1"/>
  <c r="O16" i="80" s="1"/>
  <c r="Q16" i="80" s="1"/>
  <c r="M16" i="46"/>
  <c r="I110" i="45"/>
  <c r="D110" i="45" l="1"/>
  <c r="I114" i="45"/>
  <c r="H18" i="51" s="1"/>
  <c r="I118" i="45"/>
  <c r="H190" i="51" s="1"/>
  <c r="I119" i="45"/>
  <c r="H233" i="51" s="1"/>
  <c r="I115" i="45"/>
  <c r="H61" i="51" s="1"/>
  <c r="I116" i="45"/>
  <c r="H104" i="51" s="1"/>
  <c r="I117" i="45"/>
  <c r="H147" i="51" s="1"/>
  <c r="K111" i="45" l="1"/>
  <c r="J21" i="46" s="1"/>
  <c r="L111" i="45"/>
  <c r="K21" i="46" s="1"/>
  <c r="J111" i="45"/>
  <c r="I21" i="46" s="1"/>
  <c r="I111" i="45"/>
  <c r="H21" i="46" s="1"/>
  <c r="D120" i="45"/>
  <c r="D117" i="45"/>
  <c r="D118" i="45"/>
  <c r="D119" i="45"/>
  <c r="D115" i="45"/>
  <c r="D116" i="45"/>
  <c r="D114" i="45"/>
  <c r="I120" i="45"/>
  <c r="K18" i="80" l="1"/>
  <c r="M21" i="46"/>
  <c r="H45" i="46"/>
  <c r="L18" i="80"/>
  <c r="I45" i="46"/>
  <c r="AI16" i="80"/>
  <c r="AK16" i="80" s="1"/>
  <c r="N18" i="80"/>
  <c r="K45" i="46"/>
  <c r="M18" i="80"/>
  <c r="J45" i="46"/>
  <c r="D40" i="45"/>
  <c r="K126" i="51" l="1"/>
  <c r="K40" i="51"/>
  <c r="K169" i="51"/>
  <c r="K212" i="51"/>
  <c r="K255" i="51"/>
  <c r="K83" i="51"/>
  <c r="I212" i="51"/>
  <c r="I83" i="51"/>
  <c r="I40" i="51"/>
  <c r="I126" i="51"/>
  <c r="I255" i="51"/>
  <c r="I169" i="51"/>
  <c r="H212" i="51"/>
  <c r="H83" i="51"/>
  <c r="H255" i="51"/>
  <c r="H169" i="51"/>
  <c r="H126" i="51"/>
  <c r="H40" i="51"/>
  <c r="J126" i="51"/>
  <c r="J40" i="51"/>
  <c r="J212" i="51"/>
  <c r="J83" i="51"/>
  <c r="J255" i="51"/>
  <c r="J169" i="51"/>
  <c r="O18" i="80"/>
  <c r="Q18" i="80" s="1"/>
  <c r="K41" i="45"/>
  <c r="J15" i="46" s="1"/>
  <c r="M15" i="80" s="1"/>
  <c r="L41" i="45"/>
  <c r="K15" i="46" s="1"/>
  <c r="N15" i="80" s="1"/>
  <c r="I41" i="45"/>
  <c r="H15" i="46" s="1"/>
  <c r="J41" i="45"/>
  <c r="I15" i="46" s="1"/>
  <c r="L15" i="80" s="1"/>
  <c r="M15" i="46" l="1"/>
  <c r="K15" i="80"/>
  <c r="O15" i="80" s="1"/>
  <c r="Q15" i="80" s="1"/>
  <c r="E40" i="46" l="1"/>
  <c r="H40" i="46" s="1"/>
  <c r="J40" i="46" l="1"/>
  <c r="J35" i="51" s="1"/>
  <c r="I40" i="46"/>
  <c r="I164" i="51" s="1"/>
  <c r="K40" i="46"/>
  <c r="K78" i="51" s="1"/>
  <c r="H250" i="51"/>
  <c r="H164" i="51"/>
  <c r="H121" i="51"/>
  <c r="H35" i="51"/>
  <c r="H207" i="51"/>
  <c r="H78" i="51"/>
  <c r="E32" i="46"/>
  <c r="E33" i="46"/>
  <c r="E37" i="46"/>
  <c r="E38" i="46"/>
  <c r="E39" i="46"/>
  <c r="E34" i="46"/>
  <c r="E35" i="46"/>
  <c r="E31" i="46"/>
  <c r="H37" i="46" l="1"/>
  <c r="I34" i="46"/>
  <c r="K33" i="46"/>
  <c r="J35" i="46"/>
  <c r="J39" i="46"/>
  <c r="H32" i="46"/>
  <c r="H31" i="46"/>
  <c r="H38" i="46"/>
  <c r="J207" i="51"/>
  <c r="I207" i="51"/>
  <c r="J164" i="51"/>
  <c r="J121" i="51"/>
  <c r="K121" i="51"/>
  <c r="K250" i="51"/>
  <c r="K207" i="51"/>
  <c r="I35" i="51"/>
  <c r="J78" i="51"/>
  <c r="J250" i="51"/>
  <c r="I121" i="51"/>
  <c r="K35" i="51"/>
  <c r="I78" i="51"/>
  <c r="I250" i="51"/>
  <c r="K164" i="51"/>
  <c r="K38" i="46"/>
  <c r="J38" i="46"/>
  <c r="I38" i="46"/>
  <c r="I32" i="46"/>
  <c r="I33" i="46"/>
  <c r="H33" i="46"/>
  <c r="H39" i="46"/>
  <c r="E30" i="46"/>
  <c r="I44" i="49"/>
  <c r="I46" i="49" s="1"/>
  <c r="J32" i="46"/>
  <c r="J31" i="46"/>
  <c r="K32" i="46"/>
  <c r="H35" i="46"/>
  <c r="I39" i="46"/>
  <c r="K31" i="46"/>
  <c r="I31" i="46"/>
  <c r="K37" i="46"/>
  <c r="J37" i="46"/>
  <c r="I37" i="46"/>
  <c r="J33" i="46"/>
  <c r="H34" i="46"/>
  <c r="J34" i="46"/>
  <c r="K39" i="46"/>
  <c r="K34" i="46"/>
  <c r="I35" i="46"/>
  <c r="K35" i="46"/>
  <c r="H205" i="51" l="1"/>
  <c r="J245" i="51"/>
  <c r="H198" i="51"/>
  <c r="K200" i="51"/>
  <c r="H113" i="51"/>
  <c r="I201" i="51"/>
  <c r="J206" i="51"/>
  <c r="H204" i="51"/>
  <c r="H70" i="51"/>
  <c r="J249" i="51"/>
  <c r="H161" i="51"/>
  <c r="H75" i="51"/>
  <c r="H118" i="51"/>
  <c r="I244" i="51"/>
  <c r="I72" i="51"/>
  <c r="J163" i="51"/>
  <c r="J34" i="51"/>
  <c r="I158" i="51"/>
  <c r="H199" i="51"/>
  <c r="H27" i="51"/>
  <c r="H242" i="51"/>
  <c r="J202" i="51"/>
  <c r="K114" i="51"/>
  <c r="H119" i="51"/>
  <c r="H33" i="51"/>
  <c r="K28" i="51"/>
  <c r="I29" i="51"/>
  <c r="H156" i="51"/>
  <c r="I115" i="51"/>
  <c r="K243" i="51"/>
  <c r="H69" i="51"/>
  <c r="H32" i="51"/>
  <c r="J77" i="51"/>
  <c r="H155" i="51"/>
  <c r="H247" i="51"/>
  <c r="H26" i="51"/>
  <c r="J30" i="51"/>
  <c r="J116" i="51"/>
  <c r="H241" i="51"/>
  <c r="J73" i="51"/>
  <c r="J159" i="51"/>
  <c r="H76" i="51"/>
  <c r="K71" i="51"/>
  <c r="K157" i="51"/>
  <c r="H162" i="51"/>
  <c r="H248" i="51"/>
  <c r="J120" i="51"/>
  <c r="H112" i="51"/>
  <c r="I249" i="51"/>
  <c r="K247" i="51"/>
  <c r="H245" i="51"/>
  <c r="K244" i="51"/>
  <c r="J243" i="51"/>
  <c r="K242" i="51"/>
  <c r="H249" i="51"/>
  <c r="I248" i="51"/>
  <c r="J244" i="51"/>
  <c r="J247" i="51"/>
  <c r="I245" i="51"/>
  <c r="K249" i="51"/>
  <c r="I247" i="51"/>
  <c r="J241" i="51"/>
  <c r="J248" i="51"/>
  <c r="I243" i="51"/>
  <c r="K248" i="51"/>
  <c r="K198" i="51"/>
  <c r="K241" i="51"/>
  <c r="J199" i="51"/>
  <c r="J242" i="51"/>
  <c r="H201" i="51"/>
  <c r="H244" i="51"/>
  <c r="I198" i="51"/>
  <c r="I241" i="51"/>
  <c r="K202" i="51"/>
  <c r="K245" i="51"/>
  <c r="H200" i="51"/>
  <c r="H243" i="51"/>
  <c r="I199" i="51"/>
  <c r="I242" i="51"/>
  <c r="K161" i="51"/>
  <c r="K204" i="51"/>
  <c r="I157" i="51"/>
  <c r="I200" i="51"/>
  <c r="I159" i="51"/>
  <c r="I202" i="51"/>
  <c r="K158" i="51"/>
  <c r="K201" i="51"/>
  <c r="I162" i="51"/>
  <c r="I205" i="51"/>
  <c r="J161" i="51"/>
  <c r="J204" i="51"/>
  <c r="K163" i="51"/>
  <c r="K206" i="51"/>
  <c r="J162" i="51"/>
  <c r="J205" i="51"/>
  <c r="I163" i="51"/>
  <c r="I206" i="51"/>
  <c r="H159" i="51"/>
  <c r="H202" i="51"/>
  <c r="H163" i="51"/>
  <c r="H206" i="51"/>
  <c r="J158" i="51"/>
  <c r="J201" i="51"/>
  <c r="K162" i="51"/>
  <c r="K205" i="51"/>
  <c r="J157" i="51"/>
  <c r="J200" i="51"/>
  <c r="K156" i="51"/>
  <c r="K199" i="51"/>
  <c r="I161" i="51"/>
  <c r="I204" i="51"/>
  <c r="J155" i="51"/>
  <c r="J198" i="51"/>
  <c r="I113" i="51"/>
  <c r="I156" i="51"/>
  <c r="K112" i="51"/>
  <c r="K155" i="51"/>
  <c r="J113" i="51"/>
  <c r="J156" i="51"/>
  <c r="I112" i="51"/>
  <c r="I155" i="51"/>
  <c r="H115" i="51"/>
  <c r="H158" i="51"/>
  <c r="H114" i="51"/>
  <c r="H157" i="51"/>
  <c r="K116" i="51"/>
  <c r="K159" i="51"/>
  <c r="K75" i="51"/>
  <c r="K118" i="51"/>
  <c r="K72" i="51"/>
  <c r="K115" i="51"/>
  <c r="K77" i="51"/>
  <c r="K120" i="51"/>
  <c r="K76" i="51"/>
  <c r="K119" i="51"/>
  <c r="K70" i="51"/>
  <c r="K113" i="51"/>
  <c r="J69" i="51"/>
  <c r="J112" i="51"/>
  <c r="J75" i="51"/>
  <c r="J118" i="51"/>
  <c r="J76" i="51"/>
  <c r="J119" i="51"/>
  <c r="J72" i="51"/>
  <c r="J115" i="51"/>
  <c r="J71" i="51"/>
  <c r="J114" i="51"/>
  <c r="I73" i="51"/>
  <c r="I116" i="51"/>
  <c r="I75" i="51"/>
  <c r="I118" i="51"/>
  <c r="I71" i="51"/>
  <c r="I114" i="51"/>
  <c r="I76" i="51"/>
  <c r="I119" i="51"/>
  <c r="I77" i="51"/>
  <c r="I120" i="51"/>
  <c r="H73" i="51"/>
  <c r="H116" i="51"/>
  <c r="H77" i="51"/>
  <c r="H120" i="51"/>
  <c r="K30" i="51"/>
  <c r="K73" i="51"/>
  <c r="K26" i="51"/>
  <c r="K69" i="51"/>
  <c r="J70" i="51"/>
  <c r="I27" i="51"/>
  <c r="I70" i="51"/>
  <c r="I26" i="51"/>
  <c r="I69" i="51"/>
  <c r="H29" i="51"/>
  <c r="H72" i="51"/>
  <c r="H28" i="51"/>
  <c r="H71" i="51"/>
  <c r="K34" i="51"/>
  <c r="K33" i="51"/>
  <c r="K29" i="51"/>
  <c r="K32" i="51"/>
  <c r="K27" i="51"/>
  <c r="J32" i="51"/>
  <c r="J33" i="51"/>
  <c r="J29" i="51"/>
  <c r="J28" i="51"/>
  <c r="I32" i="51"/>
  <c r="I28" i="51"/>
  <c r="I30" i="51"/>
  <c r="I33" i="51"/>
  <c r="I34" i="51"/>
  <c r="H30" i="51"/>
  <c r="H34" i="51"/>
  <c r="J26" i="51"/>
  <c r="E30" i="80"/>
  <c r="J30" i="46"/>
  <c r="K30" i="46"/>
  <c r="I30" i="46"/>
  <c r="I45" i="49"/>
  <c r="H30" i="46"/>
  <c r="J27" i="51"/>
  <c r="E20" i="80"/>
  <c r="D16" i="80"/>
  <c r="E19" i="80"/>
  <c r="D14" i="80"/>
  <c r="D26" i="80"/>
  <c r="D33" i="80"/>
  <c r="D19" i="80"/>
  <c r="D36" i="80"/>
  <c r="D17" i="80"/>
  <c r="D20" i="80"/>
  <c r="D22" i="80"/>
  <c r="D34" i="80"/>
  <c r="D21" i="80"/>
  <c r="E26" i="80"/>
  <c r="E23" i="80"/>
  <c r="D15" i="80"/>
  <c r="D13" i="4"/>
  <c r="E31" i="80"/>
  <c r="D23" i="80"/>
  <c r="E34" i="80"/>
  <c r="D29" i="80"/>
  <c r="D25" i="80"/>
  <c r="E17" i="80"/>
  <c r="D39" i="80"/>
  <c r="D42" i="80" s="1"/>
  <c r="E35" i="80"/>
  <c r="E36" i="80"/>
  <c r="E25" i="80"/>
  <c r="E28" i="80"/>
  <c r="E33" i="80"/>
  <c r="D28" i="80"/>
  <c r="E22" i="80"/>
  <c r="E21" i="80"/>
  <c r="E14" i="80"/>
  <c r="E29" i="80"/>
  <c r="E16" i="80"/>
  <c r="D30" i="80"/>
  <c r="D35" i="80"/>
  <c r="D31" i="80"/>
  <c r="E15" i="80"/>
  <c r="E27" i="80"/>
  <c r="D27" i="80"/>
  <c r="K240" i="51" l="1"/>
  <c r="J240" i="51"/>
  <c r="I197" i="51"/>
  <c r="I240" i="51"/>
  <c r="H197" i="51"/>
  <c r="H240" i="51"/>
  <c r="K154" i="51"/>
  <c r="K197" i="51"/>
  <c r="J154" i="51"/>
  <c r="J197" i="51"/>
  <c r="H154" i="51"/>
  <c r="I111" i="51"/>
  <c r="I154" i="51"/>
  <c r="H111" i="51"/>
  <c r="K68" i="51"/>
  <c r="K111" i="51"/>
  <c r="J68" i="51"/>
  <c r="J111" i="51"/>
  <c r="I68" i="51"/>
  <c r="H68" i="51"/>
  <c r="I25" i="51"/>
  <c r="K25" i="51"/>
  <c r="J25" i="51"/>
  <c r="H25" i="51"/>
  <c r="E37" i="80"/>
  <c r="E38" i="80" s="1"/>
  <c r="H12" i="80" s="1"/>
  <c r="D37" i="80"/>
  <c r="D41" i="80" s="1"/>
  <c r="D38" i="80" l="1"/>
  <c r="H13" i="80" s="1"/>
  <c r="H14" i="80" s="1"/>
  <c r="E36" i="46" l="1"/>
  <c r="C54" i="49"/>
  <c r="E55" i="46" l="1"/>
  <c r="E56" i="46" s="1"/>
  <c r="B58" i="46" s="1"/>
  <c r="D19" i="4" s="1"/>
  <c r="H36" i="46"/>
  <c r="I36" i="46"/>
  <c r="J36" i="46"/>
  <c r="K36" i="46"/>
  <c r="V14" i="80" l="1"/>
  <c r="V15" i="80"/>
  <c r="W14" i="80"/>
  <c r="U14" i="80"/>
  <c r="U15" i="80"/>
  <c r="T14" i="80"/>
  <c r="W15" i="80"/>
  <c r="K31" i="51"/>
  <c r="K117" i="51"/>
  <c r="K203" i="51"/>
  <c r="K55" i="46"/>
  <c r="K56" i="46" s="1"/>
  <c r="K74" i="51"/>
  <c r="K246" i="51"/>
  <c r="W12" i="80"/>
  <c r="K160" i="51"/>
  <c r="J74" i="51"/>
  <c r="J160" i="51"/>
  <c r="J246" i="51"/>
  <c r="J31" i="51"/>
  <c r="J55" i="46"/>
  <c r="J56" i="46" s="1"/>
  <c r="J203" i="51"/>
  <c r="V12" i="80"/>
  <c r="J117" i="51"/>
  <c r="I31" i="51"/>
  <c r="I74" i="51"/>
  <c r="I160" i="51"/>
  <c r="I246" i="51"/>
  <c r="I55" i="46"/>
  <c r="I56" i="46" s="1"/>
  <c r="U12" i="80"/>
  <c r="I203" i="51"/>
  <c r="I117" i="51"/>
  <c r="H117" i="51"/>
  <c r="H203" i="51"/>
  <c r="H31" i="51"/>
  <c r="T12" i="80"/>
  <c r="H74" i="51"/>
  <c r="H160" i="51"/>
  <c r="H55" i="46"/>
  <c r="H56" i="46" s="1"/>
  <c r="T15" i="80"/>
  <c r="H246" i="51"/>
  <c r="V16" i="80" l="1"/>
  <c r="X14" i="80"/>
  <c r="U16" i="80"/>
  <c r="W16" i="80"/>
  <c r="X15" i="80"/>
  <c r="I53" i="51"/>
  <c r="I284" i="51" s="1"/>
  <c r="K53" i="51"/>
  <c r="K284" i="51" s="1"/>
  <c r="H52" i="51"/>
  <c r="H273" i="51" s="1"/>
  <c r="J53" i="51"/>
  <c r="J284" i="51" s="1"/>
  <c r="H53" i="51"/>
  <c r="H284" i="51" s="1"/>
  <c r="H50" i="51"/>
  <c r="I224" i="51"/>
  <c r="I277" i="51" s="1"/>
  <c r="I222" i="51"/>
  <c r="I179" i="51"/>
  <c r="I181" i="51"/>
  <c r="I276" i="51" s="1"/>
  <c r="J181" i="51"/>
  <c r="J276" i="51" s="1"/>
  <c r="J179" i="51"/>
  <c r="K222" i="51"/>
  <c r="K224" i="51"/>
  <c r="K277" i="51" s="1"/>
  <c r="J267" i="51"/>
  <c r="J278" i="51" s="1"/>
  <c r="J265" i="51"/>
  <c r="K181" i="51"/>
  <c r="K276" i="51" s="1"/>
  <c r="K179" i="51"/>
  <c r="H182" i="51"/>
  <c r="H287" i="51" s="1"/>
  <c r="J182" i="51"/>
  <c r="J287" i="51" s="1"/>
  <c r="I182" i="51"/>
  <c r="I287" i="51" s="1"/>
  <c r="H181" i="51"/>
  <c r="H276" i="51" s="1"/>
  <c r="H179" i="51"/>
  <c r="K182" i="51"/>
  <c r="K287" i="51" s="1"/>
  <c r="H224" i="51"/>
  <c r="H277" i="51" s="1"/>
  <c r="J225" i="51"/>
  <c r="J288" i="51" s="1"/>
  <c r="H225" i="51"/>
  <c r="H288" i="51" s="1"/>
  <c r="K225" i="51"/>
  <c r="K288" i="51" s="1"/>
  <c r="I225" i="51"/>
  <c r="I288" i="51" s="1"/>
  <c r="H222" i="51"/>
  <c r="I95" i="51"/>
  <c r="I274" i="51" s="1"/>
  <c r="I93" i="51"/>
  <c r="J222" i="51"/>
  <c r="J224" i="51"/>
  <c r="J277" i="51" s="1"/>
  <c r="H267" i="51"/>
  <c r="H278" i="51" s="1"/>
  <c r="H268" i="51"/>
  <c r="H289" i="51" s="1"/>
  <c r="K268" i="51"/>
  <c r="K289" i="51" s="1"/>
  <c r="H265" i="51"/>
  <c r="I268" i="51"/>
  <c r="I289" i="51" s="1"/>
  <c r="J268" i="51"/>
  <c r="J289" i="51" s="1"/>
  <c r="H96" i="51"/>
  <c r="H285" i="51" s="1"/>
  <c r="J96" i="51"/>
  <c r="J285" i="51" s="1"/>
  <c r="H93" i="51"/>
  <c r="H95" i="51"/>
  <c r="H274" i="51" s="1"/>
  <c r="K96" i="51"/>
  <c r="K285" i="51" s="1"/>
  <c r="I96" i="51"/>
  <c r="I285" i="51" s="1"/>
  <c r="I139" i="51"/>
  <c r="I286" i="51" s="1"/>
  <c r="K139" i="51"/>
  <c r="K286" i="51" s="1"/>
  <c r="H138" i="51"/>
  <c r="H275" i="51" s="1"/>
  <c r="H139" i="51"/>
  <c r="H286" i="51" s="1"/>
  <c r="H136" i="51"/>
  <c r="J139" i="51"/>
  <c r="J286" i="51" s="1"/>
  <c r="I52" i="51"/>
  <c r="I273" i="51" s="1"/>
  <c r="I50" i="51"/>
  <c r="J95" i="51"/>
  <c r="J274" i="51" s="1"/>
  <c r="J93" i="51"/>
  <c r="K267" i="51"/>
  <c r="K278" i="51" s="1"/>
  <c r="K265" i="51"/>
  <c r="K138" i="51"/>
  <c r="K275" i="51" s="1"/>
  <c r="K136" i="51"/>
  <c r="T16" i="80"/>
  <c r="X12" i="80"/>
  <c r="I138" i="51"/>
  <c r="I275" i="51" s="1"/>
  <c r="I136" i="51"/>
  <c r="I267" i="51"/>
  <c r="I278" i="51" s="1"/>
  <c r="I265" i="51"/>
  <c r="J138" i="51"/>
  <c r="J275" i="51" s="1"/>
  <c r="J136" i="51"/>
  <c r="J52" i="51"/>
  <c r="J273" i="51" s="1"/>
  <c r="J50" i="51"/>
  <c r="K95" i="51"/>
  <c r="K274" i="51" s="1"/>
  <c r="K93" i="51"/>
  <c r="K52" i="51"/>
  <c r="K273" i="51" s="1"/>
  <c r="K50" i="51"/>
  <c r="I30" i="81" l="1"/>
  <c r="I26" i="81"/>
  <c r="J26" i="81"/>
  <c r="J29" i="81"/>
  <c r="I27" i="81"/>
  <c r="K26" i="81"/>
  <c r="K30" i="81"/>
  <c r="I29" i="81"/>
  <c r="I28" i="81"/>
  <c r="J27" i="81"/>
  <c r="K27" i="81"/>
  <c r="J30" i="81"/>
  <c r="K29" i="81"/>
  <c r="K28" i="81"/>
  <c r="J28" i="81"/>
  <c r="X16" i="80"/>
  <c r="T17" i="80" s="1"/>
  <c r="J14" i="81"/>
  <c r="J295" i="51"/>
  <c r="J279" i="51"/>
  <c r="E275" i="51"/>
  <c r="H297" i="51"/>
  <c r="H16" i="81"/>
  <c r="J17" i="81"/>
  <c r="J298" i="51"/>
  <c r="H15" i="81"/>
  <c r="E274" i="51"/>
  <c r="H296" i="51"/>
  <c r="E289" i="51"/>
  <c r="H30" i="81"/>
  <c r="I18" i="81"/>
  <c r="I299" i="51"/>
  <c r="E273" i="51"/>
  <c r="H14" i="81"/>
  <c r="H279" i="51"/>
  <c r="H295" i="51"/>
  <c r="K279" i="51"/>
  <c r="K14" i="81"/>
  <c r="K295" i="51"/>
  <c r="K19" i="81"/>
  <c r="K300" i="51"/>
  <c r="E285" i="51"/>
  <c r="H26" i="81"/>
  <c r="K298" i="51"/>
  <c r="K17" i="81"/>
  <c r="J25" i="81"/>
  <c r="J290" i="51"/>
  <c r="J16" i="81"/>
  <c r="J297" i="51"/>
  <c r="K16" i="81"/>
  <c r="K297" i="51"/>
  <c r="J296" i="51"/>
  <c r="J15" i="81"/>
  <c r="H19" i="81"/>
  <c r="H300" i="51"/>
  <c r="E278" i="51"/>
  <c r="I15" i="81"/>
  <c r="I296" i="51"/>
  <c r="H29" i="81"/>
  <c r="E288" i="51"/>
  <c r="E287" i="51"/>
  <c r="H28" i="81"/>
  <c r="J300" i="51"/>
  <c r="J19" i="81"/>
  <c r="I17" i="81"/>
  <c r="I298" i="51"/>
  <c r="K290" i="51"/>
  <c r="K25" i="81"/>
  <c r="I19" i="81"/>
  <c r="I300" i="51"/>
  <c r="I279" i="51"/>
  <c r="I14" i="81"/>
  <c r="I295" i="51"/>
  <c r="E277" i="51"/>
  <c r="H299" i="51"/>
  <c r="H18" i="81"/>
  <c r="K18" i="81"/>
  <c r="K299" i="51"/>
  <c r="K15" i="81"/>
  <c r="K296" i="51"/>
  <c r="I16" i="81"/>
  <c r="I297" i="51"/>
  <c r="H27" i="81"/>
  <c r="E286" i="51"/>
  <c r="J18" i="81"/>
  <c r="J299" i="51"/>
  <c r="H17" i="81"/>
  <c r="H298" i="51"/>
  <c r="E276" i="51"/>
  <c r="H25" i="81"/>
  <c r="H290" i="51"/>
  <c r="E284" i="51"/>
  <c r="I25" i="81"/>
  <c r="I290" i="51"/>
  <c r="W17" i="80" l="1"/>
  <c r="J40" i="81"/>
  <c r="I38" i="81"/>
  <c r="I39" i="81"/>
  <c r="J41" i="81"/>
  <c r="H31" i="81"/>
  <c r="I20" i="81"/>
  <c r="K31" i="81"/>
  <c r="E29" i="81"/>
  <c r="E19" i="81"/>
  <c r="J37" i="81"/>
  <c r="K39" i="81"/>
  <c r="I40" i="81"/>
  <c r="J20" i="81"/>
  <c r="I41" i="81"/>
  <c r="K38" i="81"/>
  <c r="K40" i="81"/>
  <c r="J31" i="81"/>
  <c r="H20" i="81"/>
  <c r="E15" i="81"/>
  <c r="I31" i="81"/>
  <c r="E18" i="81"/>
  <c r="E17" i="81"/>
  <c r="I37" i="81"/>
  <c r="E26" i="81"/>
  <c r="E27" i="81"/>
  <c r="K37" i="81"/>
  <c r="E28" i="81"/>
  <c r="J38" i="81"/>
  <c r="K41" i="81"/>
  <c r="K20" i="81"/>
  <c r="E30" i="81"/>
  <c r="J39" i="81"/>
  <c r="E16" i="81"/>
  <c r="V17" i="80"/>
  <c r="U17" i="80"/>
  <c r="E300" i="51"/>
  <c r="H41" i="81"/>
  <c r="K36" i="81"/>
  <c r="K301" i="51"/>
  <c r="E296" i="51"/>
  <c r="H37" i="81"/>
  <c r="H36" i="81"/>
  <c r="E295" i="51"/>
  <c r="H301" i="51"/>
  <c r="I36" i="81"/>
  <c r="I301" i="51"/>
  <c r="J36" i="81"/>
  <c r="J301" i="51"/>
  <c r="E299" i="51"/>
  <c r="H40" i="81"/>
  <c r="E25" i="81"/>
  <c r="E290" i="51"/>
  <c r="E298" i="51"/>
  <c r="H39" i="81"/>
  <c r="E279" i="51"/>
  <c r="E280" i="51" s="1"/>
  <c r="E14" i="81"/>
  <c r="E297" i="51"/>
  <c r="H38" i="81"/>
  <c r="E38" i="81" l="1"/>
  <c r="E39" i="81"/>
  <c r="E40" i="81"/>
  <c r="E291" i="51"/>
  <c r="E37" i="81"/>
  <c r="E41" i="81"/>
  <c r="X17" i="80"/>
  <c r="C47" i="80"/>
  <c r="D34" i="4" s="1"/>
  <c r="K302" i="51"/>
  <c r="K42" i="81"/>
  <c r="I42" i="81"/>
  <c r="I302" i="51"/>
  <c r="E20" i="81"/>
  <c r="E301" i="51"/>
  <c r="E36" i="81"/>
  <c r="E31" i="81"/>
  <c r="J42" i="81"/>
  <c r="J302" i="51"/>
  <c r="H42" i="81"/>
  <c r="H302" i="51"/>
  <c r="E42" i="81" l="1"/>
  <c r="C46" i="81" s="1"/>
  <c r="D28" i="4"/>
  <c r="B305" i="51"/>
  <c r="D31" i="4" l="1"/>
  <c r="D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tc={D54DEDE9-D410-4610-8183-C25E7FFCEB13}</author>
    <author>tc={EC643E16-FF41-4E57-9382-7010B0D98EDF}</author>
    <author>tc={EC643E16-FF41-4E58-9382-7010B0D98EDF}</author>
  </authors>
  <commentList>
    <comment ref="B36" authorId="0" shapeId="0" xr:uid="{D54DEDE9-D410-4610-8183-C25E7FFCEB13}">
      <text>
        <t>[Threaded comment]
Your version of Excel allows you to read this threaded comment; however, any edits to it will get removed if the file is opened in a newer version of Excel. Learn more: https://go.microsoft.com/fwlink/?linkid=870924
Comment:
    Was kWh in the RY2021 CoSM</t>
      </text>
    </comment>
    <comment ref="B44" authorId="1" shapeId="0" xr:uid="{EC643E16-FF41-4E57-9382-7010B0D98EDF}">
      <text>
        <t>[Threaded comment]
Your version of Excel allows you to read this threaded comment; however, any edits to it will get removed if the file is opened in a newer version of Excel. Learn more: https://go.microsoft.com/fwlink/?linkid=870924
Comment:
    Was kWh in the RY2021 CoSM</t>
      </text>
    </comment>
    <comment ref="B52" authorId="2" shapeId="0" xr:uid="{EC10D8BB-EA84-4386-81E4-D5E20C033B4E}">
      <text>
        <t>[Threaded comment]
Your version of Excel allows you to read this threaded comment; however, any edits to it will get removed if the file is opened in a newer version of Excel. Learn more: https://go.microsoft.com/fwlink/?linkid=870924
Comment:
    Was kWh in the RY2021 CoSM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<sst xmlns="http://schemas.openxmlformats.org/spreadsheetml/2006/main" count="1034" uniqueCount="247">
  <si>
    <t>Key</t>
  </si>
  <si>
    <t>Input cell</t>
  </si>
  <si>
    <t>Source Reference</t>
  </si>
  <si>
    <t>xxx</t>
  </si>
  <si>
    <t>Calculation cell</t>
  </si>
  <si>
    <t>Calculated percentage</t>
  </si>
  <si>
    <t>%</t>
  </si>
  <si>
    <t>Total</t>
  </si>
  <si>
    <t>Check cell - no error</t>
  </si>
  <si>
    <t>Check cell - error</t>
  </si>
  <si>
    <t>Pricing Process</t>
  </si>
  <si>
    <t>Aurora Energy’s pricing process is designed to support an efficient level of investment in our network for the long-term benefit of customers, and to comply with the Electricity Authority’s 2019 pricing principles. Prices are set to signal the underlying costs of supplying services, using a four step process as outlined below. This Cost of Supply Model (CoSM) is used for steps 2 and 3 of the pricing process.</t>
  </si>
  <si>
    <t>Model flow diagram</t>
  </si>
  <si>
    <t>Model overview</t>
  </si>
  <si>
    <t>The purpose of this model is to allocate the target revenue to:
1. Pricing areas based on the underlying costs of supply,
2. Customer load groups based on service characteristics.
A detailed rationale for allocating costs is provided in our Pricing Methodology.</t>
  </si>
  <si>
    <t>The model has 3 key steps:</t>
  </si>
  <si>
    <t xml:space="preserve">1. Target revenue is entered by component and then allocated to pricing areas based on a proxy allocator of the cost driver. For example, capital related costs are allocated to each pricing area based on the relative RAB value in each pricing area. </t>
  </si>
  <si>
    <t>2. The RAB and RAB depreciation are allocated to customer load groups based on each load group's use of network assets, for example larger customers make proportionately more use of HV assets than smaller customers.</t>
  </si>
  <si>
    <t>3. Each pricing area's target revenue is further allocated to customer load groups based on underlying service characteristics and use of the network.</t>
  </si>
  <si>
    <t>Input sheet guide</t>
  </si>
  <si>
    <t>Target revenue</t>
  </si>
  <si>
    <t>In the Target Revenue sheet:
1. Each component of target revenue is entered, with totals reconciling to the Annual Price-Setting Disclosure Statement. 
2. For each component of target revenue a pricing area allocator is selected to determine what proportion of this target revenue is allocated to each pricing area.
3. For each component of target revenue a load group allocator is selected to determine how each component of target revenue is allocated to customer load groups within each pricing area.
4. Each component of target revenue is assigned as being either distribution or passthrough. This determines whether the component of target revenue is recovered through distribution tariffs, or passthrough tariffs. 
5. Each component of target revenue is assigned a cost type. The cost type is used for reporting purposes only, and does not impact prices.
6. The model scales distribution revenue components to match the limit on forecast revenue from prices as disclosed in the annual price-setting statement. Passthrough and recoverable revenue components are not scaled.</t>
  </si>
  <si>
    <t>Allocator Data</t>
  </si>
  <si>
    <t>In the Allocator Data sheet the allocators are input at the pricing area and where possible, customer load group level.</t>
  </si>
  <si>
    <t>Asset Mapping</t>
  </si>
  <si>
    <t>In the Asset Mapping sheet:
1. Each asset category is identified as supporting either the LV, or HV network. 
2. For each customer load group there is a flag to indicate whether they are supplied from the LV, or HV network.
3. The model determines each load group's share of network assets based on the relative CPD values of each customer load group.</t>
  </si>
  <si>
    <t>Abbreviation</t>
  </si>
  <si>
    <t>Definition</t>
  </si>
  <si>
    <t>ACOT</t>
  </si>
  <si>
    <t>Avoided Cost of Transmission</t>
  </si>
  <si>
    <t>Capex</t>
  </si>
  <si>
    <t>Capital Expenditure</t>
  </si>
  <si>
    <t>CoSM</t>
  </si>
  <si>
    <t>Cost of Supply Model</t>
  </si>
  <si>
    <t>CPD</t>
  </si>
  <si>
    <t>Control Period Demand</t>
  </si>
  <si>
    <t>CPP</t>
  </si>
  <si>
    <t>Customised Pricing-quality Path</t>
  </si>
  <si>
    <t>FENZ</t>
  </si>
  <si>
    <t>Fire Emergency New Zealand</t>
  </si>
  <si>
    <t>HV</t>
  </si>
  <si>
    <t>High Voltage</t>
  </si>
  <si>
    <t>ICP</t>
  </si>
  <si>
    <t>Installation Control Point, and is further defined in the Code</t>
  </si>
  <si>
    <t>IRIS</t>
  </si>
  <si>
    <t>Incremental Rolling Incentive Scheme</t>
  </si>
  <si>
    <t>km</t>
  </si>
  <si>
    <t>kilometre</t>
  </si>
  <si>
    <t>kVA</t>
  </si>
  <si>
    <t>kilovolt-ampere</t>
  </si>
  <si>
    <t>LV</t>
  </si>
  <si>
    <t>Low Voltage</t>
  </si>
  <si>
    <t>MWh</t>
  </si>
  <si>
    <t>Megawatt Hours</t>
  </si>
  <si>
    <t>Opex</t>
  </si>
  <si>
    <t>Operating Expenditure</t>
  </si>
  <si>
    <t>RAB</t>
  </si>
  <si>
    <t>Regulatory Asset Base</t>
  </si>
  <si>
    <t>SONS</t>
  </si>
  <si>
    <t>System Operations and Network Support</t>
  </si>
  <si>
    <t>Description</t>
  </si>
  <si>
    <t>This sheet provides a summary of the checks witin the Workbook.</t>
  </si>
  <si>
    <t>Model Status</t>
  </si>
  <si>
    <t>Flag</t>
  </si>
  <si>
    <t>Check</t>
  </si>
  <si>
    <t>Ok / Error</t>
  </si>
  <si>
    <t>Target Revenue</t>
  </si>
  <si>
    <t>Scaled revenue is equal to limit on forecast revenue from prices</t>
  </si>
  <si>
    <t>Network types are fully allocated</t>
  </si>
  <si>
    <t>Pricing Area Allocations</t>
  </si>
  <si>
    <t>Target revenue is fully allocated to pricing areas</t>
  </si>
  <si>
    <t>RAB Allocations</t>
  </si>
  <si>
    <t>RAB is fully allocated to pricing areas and load groups</t>
  </si>
  <si>
    <t>RAB - Depreciation Allocations</t>
  </si>
  <si>
    <t>Price Allocations</t>
  </si>
  <si>
    <t>Pricing area load group totals match pricing area allocations</t>
  </si>
  <si>
    <t>Revenue by Pricing Area and Load Group</t>
  </si>
  <si>
    <t>Distribution and passthrough by load group matches target revenue</t>
  </si>
  <si>
    <t>Pricing Methodology Tables</t>
  </si>
  <si>
    <t>Table updates match model inputs</t>
  </si>
  <si>
    <t>This sheet records the name labels and look-up tables used in the model.</t>
  </si>
  <si>
    <t>Pricing Area Name</t>
  </si>
  <si>
    <t>Customer Load Groups</t>
  </si>
  <si>
    <t>Prior year</t>
  </si>
  <si>
    <t>This Year</t>
  </si>
  <si>
    <t>Dunedin</t>
  </si>
  <si>
    <t>Load group Streetlighting</t>
  </si>
  <si>
    <t>RY22</t>
  </si>
  <si>
    <t>RY23</t>
  </si>
  <si>
    <t>Central Otago</t>
  </si>
  <si>
    <t>Load group 1 (incl residential)</t>
  </si>
  <si>
    <t>Queenstown</t>
  </si>
  <si>
    <t>Load group 2</t>
  </si>
  <si>
    <t>Te Anau</t>
  </si>
  <si>
    <t>Load group 3</t>
  </si>
  <si>
    <t>Load group 4</t>
  </si>
  <si>
    <t>Load group 5</t>
  </si>
  <si>
    <t>Target Revenue Components</t>
  </si>
  <si>
    <t>Distribution / Passthrough</t>
  </si>
  <si>
    <t>Cost type</t>
  </si>
  <si>
    <t>Service interruptions and emergencies</t>
  </si>
  <si>
    <t>Distribution</t>
  </si>
  <si>
    <t>Operational costs</t>
  </si>
  <si>
    <t>Vegetation management</t>
  </si>
  <si>
    <t>Routine and corrective maintenance and inspection</t>
  </si>
  <si>
    <t>System operations and network support</t>
  </si>
  <si>
    <t>Business support</t>
  </si>
  <si>
    <t>Depreciation</t>
  </si>
  <si>
    <t>Capital related costs</t>
  </si>
  <si>
    <t>Asset revaluations and other regulatory revenue</t>
  </si>
  <si>
    <t>Tax</t>
  </si>
  <si>
    <t>Return on capital</t>
  </si>
  <si>
    <t>Local Authority rates</t>
  </si>
  <si>
    <t>Passthrough</t>
  </si>
  <si>
    <t>Passthrough and recoverable costs</t>
  </si>
  <si>
    <t>Commerce Act levies</t>
  </si>
  <si>
    <t>Electricity Authority levies</t>
  </si>
  <si>
    <t>Utilities Disputes levies</t>
  </si>
  <si>
    <t>Opex Incentive Amount</t>
  </si>
  <si>
    <t>Capex Incentive Amount</t>
  </si>
  <si>
    <t>Transpower  - connection costs</t>
  </si>
  <si>
    <t>Transpower - interconnection costs</t>
  </si>
  <si>
    <t>Transpower - new investment contract</t>
  </si>
  <si>
    <t>Distributed Generation Allowance</t>
  </si>
  <si>
    <t>CPP recoverable costs</t>
  </si>
  <si>
    <t>Quality Incentive Adjustments</t>
  </si>
  <si>
    <t>Capex Wash-up Adjustment</t>
  </si>
  <si>
    <t>Fire and Emergency Management New Zealand (FENZ) levies</t>
  </si>
  <si>
    <t>Opening wash-up Account Balance</t>
  </si>
  <si>
    <t>Transmission costs and ACOT</t>
  </si>
  <si>
    <t>Pricing Area Allocators</t>
  </si>
  <si>
    <t>RAB Allocators</t>
  </si>
  <si>
    <t>ICP Count</t>
  </si>
  <si>
    <t>Total Circuit Length</t>
  </si>
  <si>
    <t>Overhead Circuit Length</t>
  </si>
  <si>
    <t>Prior year distribution revenue</t>
  </si>
  <si>
    <t>Transpower connection and interconnection</t>
  </si>
  <si>
    <t>Regulated Asset Base</t>
  </si>
  <si>
    <t>Transpower new investment contract</t>
  </si>
  <si>
    <t>Regulated Asset Base (Depreciation)</t>
  </si>
  <si>
    <t>Overhead lines and underground cables</t>
  </si>
  <si>
    <t>Asset Categories</t>
  </si>
  <si>
    <t>Network Voltage</t>
  </si>
  <si>
    <t>Network Use Indicators</t>
  </si>
  <si>
    <t>33KV Lines</t>
  </si>
  <si>
    <t>Yes</t>
  </si>
  <si>
    <t>33KV Cables</t>
  </si>
  <si>
    <t>No</t>
  </si>
  <si>
    <t>Zone Subs</t>
  </si>
  <si>
    <t>Shared</t>
  </si>
  <si>
    <t>HV lines</t>
  </si>
  <si>
    <t>LV lines</t>
  </si>
  <si>
    <t>HV cables</t>
  </si>
  <si>
    <t>LV cables</t>
  </si>
  <si>
    <t>Dist Subs</t>
  </si>
  <si>
    <t>Network Posting</t>
  </si>
  <si>
    <t>System Control</t>
  </si>
  <si>
    <t>This sheet has been deliberately left blank.</t>
  </si>
  <si>
    <t>In this sheet the target revenue is input at the cost category and cost item level consistent with the annual price-setting statement and the Commerce Commission's financial models.</t>
  </si>
  <si>
    <t>The Pricing Area and Load Group Allocators are selected to determine how costs are allocated.</t>
  </si>
  <si>
    <t>The target revenue is then scaled to match the total revenue allowable.</t>
  </si>
  <si>
    <t>Scaled target revenue</t>
  </si>
  <si>
    <t>Source &amp; comments</t>
  </si>
  <si>
    <t>Aurora CPP Expenditure Model With ComCom Adjustments - Final Decision - 31 March 2021 (published on Commerce Commission website).</t>
  </si>
  <si>
    <t>Aurora CPP Financial Model With ComCom Adjustments - Final Decision - 31 March 2021 (published on Commerce Commission website).</t>
  </si>
  <si>
    <t xml:space="preserve">Amount required to balance to Forecast net allowable revenue </t>
  </si>
  <si>
    <t>Annual Price-Setting Compliance Statement - Table 6</t>
  </si>
  <si>
    <t>Annual Price-Setting Compliance Statement - Table 5</t>
  </si>
  <si>
    <t>Forecast Allowable Revenue</t>
  </si>
  <si>
    <t>Forecast Revenue From Prices</t>
  </si>
  <si>
    <t>Revenue Deferred to Future Periods</t>
  </si>
  <si>
    <t>Forecast net allowable revenue</t>
  </si>
  <si>
    <t>Aurora Energy Limited Electricity Distribution Customised Price-Quality Path Determination 2021 (Schedule 1.3)</t>
  </si>
  <si>
    <t>Limit on Forecast Revenue From Prices</t>
  </si>
  <si>
    <t>Annual Price-Setting Compliance Statement (Table 10)</t>
  </si>
  <si>
    <t>Scaling</t>
  </si>
  <si>
    <t>Revenue deferrred &amp; Wash-ups</t>
  </si>
  <si>
    <t>In this sheet allocation data is input by pricing area and customer load group (if applicable):</t>
  </si>
  <si>
    <t>Units</t>
  </si>
  <si>
    <t>Allocation to pricing categories</t>
  </si>
  <si>
    <t>Information Disclosure 2021 - Schedule 8 (excluding Load group 0, Load Group 0A, and Distributed Generation)</t>
  </si>
  <si>
    <t>#</t>
  </si>
  <si>
    <t>Allocation percentages</t>
  </si>
  <si>
    <t>Information Disclosure 2021 - Schedule 9c</t>
  </si>
  <si>
    <t>Annual CPD assessments</t>
  </si>
  <si>
    <t>kW</t>
  </si>
  <si>
    <t>$</t>
  </si>
  <si>
    <t>Pricing Methodology - Distributed Generation</t>
  </si>
  <si>
    <t>Annual Compliance Statement 2021 - Table 20</t>
  </si>
  <si>
    <t>Asset categories</t>
  </si>
  <si>
    <t>Total Check</t>
  </si>
  <si>
    <t>Note: This input is used to allocate 'RAB' and 'RAB - Depreciation' values for lines and cables between HV and LV</t>
  </si>
  <si>
    <t>Overhead Circuit Length (km)</t>
  </si>
  <si>
    <t>Distribution lines(HV)</t>
  </si>
  <si>
    <t>2004 ODV RC ($000/km Medium):</t>
  </si>
  <si>
    <t>Underground Circuit Length (km)</t>
  </si>
  <si>
    <t>Distribution cables(HV)</t>
  </si>
  <si>
    <t>Load Groups</t>
  </si>
  <si>
    <t>Load Group Summary</t>
  </si>
  <si>
    <t>Error check</t>
  </si>
  <si>
    <t>This sheet allocates each component of target revenue to pricing areas based on the selected allocator, and calculated allocation percentages.</t>
  </si>
  <si>
    <t>Allocator percentages</t>
  </si>
  <si>
    <t>check</t>
  </si>
  <si>
    <t>RAB Allocator Summary</t>
  </si>
  <si>
    <t>RAB Allocation</t>
  </si>
  <si>
    <t>Allocator</t>
  </si>
  <si>
    <t xml:space="preserve"> </t>
  </si>
  <si>
    <t>Price category allocators</t>
  </si>
  <si>
    <t>This sheet summarises the output of the model with target revenue split into pricing area, customer load group, and distribution/passthrough.</t>
  </si>
  <si>
    <t>$000's</t>
  </si>
  <si>
    <t>This sheet links the model information in a format to be included in our annual Pricing Methodology document.</t>
  </si>
  <si>
    <t>Table 1: Components of forecast allowable revenue ($m)</t>
  </si>
  <si>
    <t>Table 2: Forecast revenue deferred to future periods ($m)</t>
  </si>
  <si>
    <t>Table 4: Pricing area allocation percentages</t>
  </si>
  <si>
    <t>Table 5: Total forecast allowable revenue by pricing area</t>
  </si>
  <si>
    <t>Table 8: Load group allocation percentages</t>
  </si>
  <si>
    <t>Cost Allocators</t>
  </si>
  <si>
    <t>Pricing Area</t>
  </si>
  <si>
    <t>Components ($m)</t>
  </si>
  <si>
    <t>Central</t>
  </si>
  <si>
    <t>Load Group</t>
  </si>
  <si>
    <t>Opening Wash-up Account Balance</t>
  </si>
  <si>
    <t xml:space="preserve">Cost Allocators </t>
  </si>
  <si>
    <t xml:space="preserve"> SL </t>
  </si>
  <si>
    <t xml:space="preserve">L1 </t>
  </si>
  <si>
    <t xml:space="preserve">L2 </t>
  </si>
  <si>
    <t xml:space="preserve">L3 </t>
  </si>
  <si>
    <t xml:space="preserve">L4 </t>
  </si>
  <si>
    <t xml:space="preserve">L5 </t>
  </si>
  <si>
    <t>Forecast revenue deferred to future periods</t>
  </si>
  <si>
    <t>Total forecast allowable revenue</t>
  </si>
  <si>
    <t>% of forecast allowable revenue</t>
  </si>
  <si>
    <t>Revenue deferred to future periods</t>
  </si>
  <si>
    <t>Load Group Allocators</t>
  </si>
  <si>
    <t>Target Revenue (before revenue limit applied)</t>
  </si>
  <si>
    <t>Central Otago &amp; Wanaka</t>
  </si>
  <si>
    <t>More information about the target revenue components is provided in section 3.6 of the Pricing Methodology.</t>
  </si>
  <si>
    <t>RAB model for Information Disclosure 2021 - Schedule 4</t>
  </si>
  <si>
    <r>
      <t>The source of the information for each input is referenced in</t>
    </r>
    <r>
      <rPr>
        <sz val="8"/>
        <color rgb="FF0070C0"/>
        <rFont val="Arial"/>
        <family val="2"/>
      </rPr>
      <t xml:space="preserve"> </t>
    </r>
  </si>
  <si>
    <t>blue.</t>
  </si>
  <si>
    <t xml:space="preserve">In this sheet asset categories are firstly mapped to a network type (HV, LV, or Shared). </t>
  </si>
  <si>
    <t>Each Load Group is then mapped to the network types used by that load group.</t>
  </si>
  <si>
    <t>More information about pricing area allocations are provided in section 3.7 of the Pricing Methodology.</t>
  </si>
  <si>
    <t>In this sheet the RAB is allocated to load groups based on the inputs from the Asset Mapping worksheet.</t>
  </si>
  <si>
    <t>In this sheet the Depreciation is allocated to load groups based on the inputs from the Asset Mapping worksheet.</t>
  </si>
  <si>
    <t>In this sheet the cost of supply for each pricing area is allocated to each load group.</t>
  </si>
  <si>
    <t>More information about load group allocation is provided in section 3.8 of the Pricing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</si>
</sst>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0_);\(#,##0\);&quot;-&quot;_);@_)"/>
    <numFmt numFmtId="165" formatCode="[$-409]dd\-mmm\-yy;@"/>
    <numFmt numFmtId="166" formatCode="d\-mmm\-yy_)"/>
    <numFmt numFmtId="167" formatCode="[=0]&quot;Ok&quot;;&quot;Error&quot;"/>
    <numFmt numFmtId="168" formatCode="_(* #,##0_);_(* \(#,##0\);_(* &quot;-&quot;_);@_)"/>
    <numFmt numFmtId="169" formatCode="0%_);\(0%\)"/>
    <numFmt numFmtId="170" formatCode="0.0%_);\(0.0%\);&quot;-&quot;_);@_)"/>
    <numFmt numFmtId="171" formatCode="_-* #,##0_-;\-* #,##0_-;_-* &quot;-&quot;??_-;_-@_-"/>
    <numFmt numFmtId="172" formatCode="0.0%"/>
    <numFmt numFmtId="173" formatCode="_-&quot;$&quot;* #,##0_-;\-&quot;$&quot;* #,##0_-;_-&quot;$&quot;* &quot;-&quot;??_-;_-@_-"/>
    <numFmt numFmtId="174" formatCode="_(* #,##0.0_);_(* \(#,##0.0\);_(* &quot;-&quot;_);@_)"/>
    <numFmt numFmtId="175" formatCode="_(* #,##0.000000_);_(* \(#,##0.000000\);_(* &quot;-&quot;_);@_)"/>
  </numFmts>
  <fonts count="64">
    <font>
      <sz val="9"/>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sz val="10"/>
      <name val="Arial"/>
      <family val="2"/>
    </font>
    <font>
      <sz val="8"/>
      <color theme="1"/>
      <name val="Arial"/>
      <family val="2"/>
    </font>
    <font>
      <sz val="8"/>
      <name val="Arial"/>
      <family val="2"/>
    </font>
    <font>
      <b/>
      <sz val="8"/>
      <name val="Arial"/>
      <family val="2"/>
    </font>
    <font>
      <b/>
      <sz val="12"/>
      <color theme="3"/>
      <name val="Arial"/>
      <family val="2"/>
    </font>
    <font>
      <sz val="8"/>
      <color theme="3"/>
      <name val="Arial"/>
      <family val="2"/>
    </font>
    <font>
      <b/>
      <sz val="8"/>
      <color theme="3"/>
      <name val="Arial"/>
      <family val="2"/>
    </font>
    <font>
      <b/>
      <sz val="8"/>
      <color theme="0"/>
      <name val="Arial"/>
      <family val="2"/>
    </font>
    <font>
      <i/>
      <sz val="8"/>
      <color theme="1"/>
      <name val="Arial"/>
      <family val="2"/>
    </font>
    <font>
      <b/>
      <sz val="8"/>
      <color theme="1"/>
      <name val="Arial"/>
      <family val="2"/>
    </font>
    <font>
      <b/>
      <i/>
      <sz val="8"/>
      <color theme="1"/>
      <name val="Arial"/>
      <family val="2"/>
    </font>
    <font>
      <sz val="11"/>
      <color theme="1"/>
      <name val="Arial"/>
      <family val="2"/>
      <scheme val="minor"/>
    </font>
    <font>
      <b/>
      <sz val="11"/>
      <color theme="3"/>
      <name val="Arial"/>
      <family val="2"/>
      <scheme val="minor"/>
    </font>
    <font>
      <sz val="9"/>
      <color rgb="FF9C0006"/>
      <name val="Arial"/>
      <family val="2"/>
    </font>
    <font>
      <b/>
      <sz val="9"/>
      <color rgb="FFFA7D00"/>
      <name val="Arial"/>
      <family val="2"/>
    </font>
    <font>
      <b/>
      <sz val="9"/>
      <color theme="0"/>
      <name val="Arial"/>
      <family val="2"/>
      <scheme val="minor"/>
    </font>
    <font>
      <sz val="9"/>
      <color theme="1"/>
      <name val="Arial"/>
      <family val="2"/>
      <scheme val="minor"/>
    </font>
    <font>
      <i/>
      <sz val="9"/>
      <color rgb="FF7F7F7F"/>
      <name val="Arial"/>
      <family val="2"/>
      <scheme val="minor"/>
    </font>
    <font>
      <sz val="9"/>
      <color rgb="FF006100"/>
      <name val="Arial"/>
      <family val="2"/>
    </font>
    <font>
      <b/>
      <sz val="9"/>
      <color theme="3"/>
      <name val="Arial"/>
      <family val="2"/>
    </font>
    <font>
      <b/>
      <sz val="9"/>
      <color theme="3"/>
      <name val="Arial"/>
      <family val="2"/>
      <scheme val="major"/>
    </font>
    <font>
      <sz val="9"/>
      <color theme="3"/>
      <name val="Arial"/>
      <family val="2"/>
      <scheme val="major"/>
    </font>
    <font>
      <sz val="9"/>
      <color rgb="FF3F3F76"/>
      <name val="Arial"/>
      <family val="2"/>
      <scheme val="minor"/>
    </font>
    <font>
      <sz val="9"/>
      <color rgb="FFFA7D00"/>
      <name val="Arial"/>
      <family val="2"/>
      <scheme val="minor"/>
    </font>
    <font>
      <sz val="9"/>
      <color rgb="FF9C6500"/>
      <name val="Arial"/>
      <family val="2"/>
    </font>
    <font>
      <b/>
      <sz val="9"/>
      <color rgb="FF3F3F3F"/>
      <name val="Arial"/>
      <family val="2"/>
      <scheme val="minor"/>
    </font>
    <font>
      <b/>
      <sz val="9"/>
      <color theme="3"/>
      <name val="Arial"/>
      <family val="2"/>
      <scheme val="minor"/>
    </font>
    <font>
      <sz val="8"/>
      <color theme="1"/>
      <name val="Arial"/>
      <family val="2"/>
      <scheme val="minor"/>
    </font>
    <font>
      <b/>
      <sz val="9"/>
      <color theme="1"/>
      <name val="Arial"/>
      <family val="2"/>
      <scheme val="minor"/>
    </font>
    <font>
      <b/>
      <sz val="11"/>
      <color theme="3"/>
      <name val="Arial"/>
      <family val="2"/>
      <scheme val="major"/>
    </font>
    <font>
      <b/>
      <sz val="9"/>
      <color theme="1"/>
      <name val="Arial"/>
      <family val="2"/>
      <scheme val="major"/>
    </font>
    <font>
      <sz val="10"/>
      <name val="Geneva"/>
    </font>
    <font>
      <sz val="11"/>
      <color theme="1"/>
      <name val="Arial"/>
      <family val="2"/>
      <charset val="134"/>
      <scheme val="minor"/>
    </font>
    <font>
      <b/>
      <sz val="10"/>
      <color theme="1"/>
      <name val="Arial"/>
      <family val="2"/>
    </font>
    <font>
      <b/>
      <sz val="8"/>
      <color theme="4"/>
      <name val="Arial"/>
      <family val="2"/>
    </font>
    <font>
      <sz val="11"/>
      <color rgb="FF3F3F76"/>
      <name val="Arial"/>
      <family val="2"/>
      <scheme val="minor"/>
    </font>
    <font>
      <sz val="8"/>
      <color theme="0"/>
      <name val="Arial"/>
      <family val="2"/>
    </font>
    <font>
      <i/>
      <sz val="8"/>
      <color theme="2" tint="-0.34998626667073579"/>
      <name val="Arial"/>
      <family val="2"/>
    </font>
    <font>
      <sz val="8"/>
      <color theme="2" tint="-0.34998626667073579"/>
      <name val="Arial"/>
      <family val="2"/>
    </font>
    <font>
      <b/>
      <sz val="8"/>
      <color theme="2" tint="-0.34998626667073579"/>
      <name val="Arial"/>
      <family val="2"/>
    </font>
    <font>
      <sz val="8"/>
      <color rgb="FFFF0000"/>
      <name val="Arial"/>
      <family val="2"/>
    </font>
    <font>
      <sz val="12"/>
      <color theme="1"/>
      <name val="Arial"/>
      <family val="2"/>
    </font>
    <font>
      <sz val="8"/>
      <color rgb="FF0070C0"/>
      <name val="Arial"/>
      <family val="2"/>
    </font>
    <font>
      <sz val="8"/>
      <name val="Arial"/>
      <family val="2"/>
      <scheme val="minor"/>
    </font>
    <font>
      <b/>
      <sz val="8"/>
      <color rgb="FF00B0F0"/>
      <name val="Arial"/>
      <family val="2"/>
    </font>
    <font>
      <sz val="8"/>
      <color theme="1" tint="0.499984740745262"/>
      <name val="Arial"/>
      <family val="2"/>
    </font>
    <font>
      <sz val="8"/>
      <color rgb="FF00B0F0"/>
      <name val="Arial"/>
      <family val="2"/>
    </font>
    <font>
      <b/>
      <sz val="10"/>
      <name val="Arial"/>
      <family val="2"/>
      <scheme val="minor"/>
    </font>
    <font>
      <u/>
      <sz val="9"/>
      <color theme="10"/>
      <name val="Arial"/>
      <family val="2"/>
      <scheme val="minor"/>
    </font>
    <font>
      <sz val="8"/>
      <color theme="0" tint="-0.499984740745262"/>
      <name val="Arial"/>
      <family val="2"/>
    </font>
    <font>
      <b/>
      <sz val="8"/>
      <color theme="0" tint="-0.499984740745262"/>
      <name val="Arial"/>
      <family val="2"/>
    </font>
    <font>
      <b/>
      <sz val="8"/>
      <color rgb="FF808080"/>
      <name val="Arial"/>
      <family val="2"/>
      <scheme val="minor"/>
    </font>
    <font>
      <b/>
      <sz val="11"/>
      <color rgb="FFFFFFFF"/>
      <name val="Calibri Light"/>
      <family val="2"/>
    </font>
    <font>
      <b/>
      <sz val="11"/>
      <color theme="1"/>
      <name val="Calibri Light"/>
      <family val="2"/>
    </font>
    <font>
      <sz val="11"/>
      <color theme="1"/>
      <name val="Calibri Light"/>
      <family val="2"/>
    </font>
    <font>
      <vertAlign val="superscript"/>
      <sz val="8"/>
      <color theme="1"/>
      <name val="Calibri Light"/>
      <family val="2"/>
    </font>
    <font>
      <sz val="8"/>
      <color rgb="FF0070C0"/>
      <name val="Arial"/>
      <family val="2"/>
      <scheme val="minor"/>
    </font>
    <font>
      <sz val="8"/>
      <color theme="1"/>
      <name val="Arial"/>
      <family val="2"/>
    </font>
  </fonts>
  <fills count="23">
    <fill>
      <patternFill patternType="none"/>
    </fill>
    <fill>
      <patternFill patternType="gray125"/>
    </fill>
    <fill>
      <patternFill patternType="solid">
        <fgColor rgb="FFFFF1CC"/>
        <bgColor indexed="64"/>
      </patternFill>
    </fill>
    <fill>
      <patternFill patternType="solid">
        <fgColor theme="3"/>
        <bgColor indexed="64"/>
      </patternFill>
    </fill>
    <fill>
      <patternFill patternType="solid">
        <fgColor theme="3"/>
        <bgColor rgb="FF00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14996795556505021"/>
        <bgColor indexed="64"/>
      </patternFill>
    </fill>
    <fill>
      <patternFill patternType="solid">
        <fgColor theme="4" tint="0.79998168889431442"/>
        <bgColor indexed="64"/>
      </patternFill>
    </fill>
    <fill>
      <patternFill patternType="solid">
        <fgColor rgb="FFDC6900"/>
        <bgColor indexed="64"/>
      </patternFill>
    </fill>
    <fill>
      <patternFill patternType="solid">
        <fgColor rgb="FFFFE699"/>
        <bgColor indexed="64"/>
      </patternFill>
    </fill>
    <fill>
      <patternFill patternType="solid">
        <fgColor indexed="65"/>
        <bgColor indexed="64"/>
      </patternFill>
    </fill>
    <fill>
      <patternFill patternType="solid">
        <fgColor rgb="FFDC6900"/>
        <bgColor rgb="FF00FFFF"/>
      </patternFill>
    </fill>
    <fill>
      <patternFill patternType="solid">
        <fgColor theme="5" tint="0.79998168889431442"/>
        <bgColor indexed="64"/>
      </patternFill>
    </fill>
    <fill>
      <patternFill patternType="solid">
        <fgColor rgb="FFFFFF99"/>
        <bgColor indexed="64"/>
      </patternFill>
    </fill>
    <fill>
      <patternFill patternType="solid">
        <fgColor theme="4"/>
        <bgColor indexed="64"/>
      </patternFill>
    </fill>
    <fill>
      <patternFill patternType="solid">
        <fgColor rgb="FFF7941E"/>
        <bgColor indexed="64"/>
      </patternFill>
    </fill>
    <fill>
      <patternFill patternType="solid">
        <fgColor rgb="FFFFFFFF"/>
        <bgColor indexed="64"/>
      </patternFill>
    </fill>
  </fills>
  <borders count="37">
    <border>
      <left/>
      <right/>
      <top/>
      <bottom/>
      <diagonal/>
    </border>
    <border>
      <left style="thin">
        <color rgb="FFA6A6A6"/>
      </left>
      <right style="thin">
        <color rgb="FFA6A6A6"/>
      </right>
      <top style="thin">
        <color rgb="FFA6A6A6"/>
      </top>
      <bottom style="thin">
        <color rgb="FFA6A6A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theme="4"/>
      </top>
      <bottom/>
      <diagonal/>
    </border>
    <border>
      <left/>
      <right/>
      <top style="thin">
        <color theme="4"/>
      </top>
      <bottom style="medium">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top style="thin">
        <color rgb="FFA6A6A6"/>
      </top>
      <bottom style="thin">
        <color rgb="FFA6A6A6"/>
      </bottom>
      <diagonal/>
    </border>
    <border>
      <left style="thin">
        <color rgb="FFA6A6A6"/>
      </left>
      <right style="thin">
        <color rgb="FFA6A6A6"/>
      </right>
      <top/>
      <bottom style="thin">
        <color rgb="FFA6A6A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style="thin">
        <color indexed="64"/>
      </right>
      <top style="thin">
        <color rgb="FFA6A6A6"/>
      </top>
      <bottom style="thin">
        <color rgb="FFA6A6A6"/>
      </bottom>
      <diagonal/>
    </border>
    <border>
      <left/>
      <right style="thin">
        <color rgb="FFA6A6A6"/>
      </right>
      <top style="thin">
        <color indexed="64"/>
      </top>
      <bottom style="thin">
        <color rgb="FFA6A6A6"/>
      </bottom>
      <diagonal/>
    </border>
    <border>
      <left/>
      <right/>
      <top style="medium">
        <color rgb="FFBFBFBF"/>
      </top>
      <bottom style="medium">
        <color rgb="FFBFBFBF"/>
      </bottom>
      <diagonal/>
    </border>
    <border>
      <left/>
      <right/>
      <top/>
      <bottom style="medium">
        <color rgb="FFBFBFBF"/>
      </bottom>
      <diagonal/>
    </border>
    <border>
      <left/>
      <right/>
      <top style="medium">
        <color rgb="FFBFBFBF"/>
      </top>
      <bottom/>
      <diagonal/>
    </border>
    <border>
      <left/>
      <right style="thin">
        <color indexed="64"/>
      </right>
      <top style="thin">
        <color indexed="64"/>
      </top>
      <bottom style="thin">
        <color rgb="FFA6A6A6"/>
      </bottom>
      <diagonal/>
    </border>
    <border>
      <left/>
      <right style="thin">
        <color indexed="64"/>
      </right>
      <top style="thin">
        <color rgb="FFA6A6A6"/>
      </top>
      <bottom style="thin">
        <color rgb="FFA6A6A6"/>
      </bottom>
      <diagonal/>
    </border>
    <border>
      <left/>
      <right style="thin">
        <color indexed="64"/>
      </right>
      <top style="thin">
        <color rgb="FFA6A6A6"/>
      </top>
      <bottom style="thin">
        <color indexed="64"/>
      </bottom>
      <diagonal/>
    </border>
    <border>
      <left/>
      <right/>
      <top style="thin">
        <color indexed="64"/>
      </top>
      <bottom style="thin">
        <color rgb="FFA6A6A6"/>
      </bottom>
      <diagonal/>
    </border>
    <border>
      <left/>
      <right/>
      <top style="thin">
        <color rgb="FFA6A6A6"/>
      </top>
      <bottom style="thin">
        <color rgb="FFA6A6A6"/>
      </bottom>
      <diagonal/>
    </border>
    <border>
      <left/>
      <right/>
      <top style="thin">
        <color rgb="FFA6A6A6"/>
      </top>
      <bottom style="thin">
        <color indexed="64"/>
      </bottom>
      <diagonal/>
    </border>
  </borders>
  <cellStyleXfs count="61">
    <xf numFmtId="168" fontId="0" fillId="0" borderId="0"/>
    <xf numFmtId="165" fontId="6" fillId="0" borderId="0"/>
    <xf numFmtId="165" fontId="6" fillId="0" borderId="0"/>
    <xf numFmtId="43" fontId="17" fillId="0" borderId="0" applyFont="0" applyFill="0" applyBorder="0" applyAlignment="0" applyProtection="0"/>
    <xf numFmtId="49" fontId="35" fillId="0" borderId="0" applyAlignment="0" applyProtection="0"/>
    <xf numFmtId="49" fontId="25" fillId="0" borderId="7" applyFill="0" applyProtection="0">
      <alignment horizontal="right" wrapText="1"/>
    </xf>
    <xf numFmtId="49" fontId="26" fillId="0" borderId="0" applyProtection="0">
      <alignment wrapText="1"/>
    </xf>
    <xf numFmtId="49" fontId="27" fillId="0" borderId="8" applyFill="0" applyProtection="0">
      <alignment horizontal="right" wrapText="1"/>
    </xf>
    <xf numFmtId="49" fontId="27" fillId="0" borderId="0" applyProtection="0">
      <alignment wrapText="1"/>
    </xf>
    <xf numFmtId="165" fontId="24" fillId="5" borderId="0" applyNumberFormat="0" applyBorder="0" applyAlignment="0" applyProtection="0"/>
    <xf numFmtId="165" fontId="19" fillId="6" borderId="0" applyNumberFormat="0" applyBorder="0" applyAlignment="0" applyProtection="0"/>
    <xf numFmtId="165" fontId="30" fillId="7" borderId="0" applyNumberFormat="0" applyBorder="0" applyAlignment="0" applyProtection="0"/>
    <xf numFmtId="165" fontId="28" fillId="8" borderId="2" applyNumberFormat="0" applyAlignment="0" applyProtection="0"/>
    <xf numFmtId="165" fontId="31" fillId="9" borderId="3" applyNumberFormat="0" applyAlignment="0" applyProtection="0"/>
    <xf numFmtId="165" fontId="20" fillId="9" borderId="2" applyNumberFormat="0" applyAlignment="0" applyProtection="0"/>
    <xf numFmtId="165" fontId="29" fillId="0" borderId="4" applyNumberFormat="0" applyFill="0" applyAlignment="0" applyProtection="0"/>
    <xf numFmtId="165" fontId="21" fillId="10" borderId="5" applyNumberFormat="0" applyAlignment="0" applyProtection="0"/>
    <xf numFmtId="165" fontId="22" fillId="11" borderId="6" applyNumberFormat="0" applyAlignment="0" applyProtection="0"/>
    <xf numFmtId="165" fontId="23" fillId="0" borderId="0" applyNumberFormat="0" applyFill="0" applyBorder="0" applyAlignment="0" applyProtection="0"/>
    <xf numFmtId="165" fontId="36" fillId="0" borderId="10" applyNumberFormat="0" applyFill="0" applyAlignment="0" applyProtection="0"/>
    <xf numFmtId="168" fontId="32" fillId="0" borderId="0" applyNumberFormat="0" applyFill="0" applyBorder="0" applyAlignment="0" applyProtection="0"/>
    <xf numFmtId="168" fontId="22" fillId="12" borderId="0" applyNumberFormat="0" applyFont="0" applyBorder="0" applyAlignment="0" applyProtection="0"/>
    <xf numFmtId="165" fontId="22" fillId="0" borderId="0" applyFill="0" applyBorder="0" applyProtection="0"/>
    <xf numFmtId="168" fontId="22" fillId="13" borderId="0" applyNumberFormat="0" applyFont="0" applyBorder="0" applyAlignment="0" applyProtection="0"/>
    <xf numFmtId="169" fontId="22" fillId="0" borderId="0" applyFill="0" applyBorder="0" applyAlignment="0" applyProtection="0"/>
    <xf numFmtId="165" fontId="33" fillId="0" borderId="0" applyNumberFormat="0" applyAlignment="0" applyProtection="0"/>
    <xf numFmtId="165" fontId="32" fillId="0" borderId="7" applyFill="0" applyProtection="0">
      <alignment horizontal="right" wrapText="1"/>
    </xf>
    <xf numFmtId="165" fontId="32" fillId="0" borderId="0" applyFill="0" applyProtection="0">
      <alignment wrapText="1"/>
    </xf>
    <xf numFmtId="168" fontId="34" fillId="0" borderId="9" applyNumberFormat="0" applyFill="0" applyAlignment="0" applyProtection="0"/>
    <xf numFmtId="165" fontId="18" fillId="0" borderId="0" applyAlignment="0" applyProtection="0"/>
    <xf numFmtId="165" fontId="34" fillId="0" borderId="10" applyNumberFormat="0" applyFill="0" applyAlignment="0" applyProtection="0"/>
    <xf numFmtId="165" fontId="4" fillId="0" borderId="0"/>
    <xf numFmtId="165" fontId="37" fillId="0" borderId="0"/>
    <xf numFmtId="43" fontId="4" fillId="0" borderId="0" applyFont="0" applyFill="0" applyBorder="0" applyAlignment="0" applyProtection="0"/>
    <xf numFmtId="9" fontId="4" fillId="0" borderId="0" applyFont="0" applyFill="0" applyBorder="0" applyAlignment="0" applyProtection="0"/>
    <xf numFmtId="165" fontId="4" fillId="0" borderId="0"/>
    <xf numFmtId="165" fontId="38" fillId="0" borderId="0">
      <alignment vertical="center"/>
    </xf>
    <xf numFmtId="165" fontId="3" fillId="0" borderId="0"/>
    <xf numFmtId="165" fontId="6" fillId="0" borderId="0"/>
    <xf numFmtId="9" fontId="22" fillId="0" borderId="0" applyFont="0" applyFill="0" applyBorder="0" applyAlignment="0" applyProtection="0"/>
    <xf numFmtId="0" fontId="41" fillId="8" borderId="2" applyNumberFormat="0" applyAlignment="0" applyProtection="0"/>
    <xf numFmtId="0" fontId="2" fillId="0" borderId="0"/>
    <xf numFmtId="0" fontId="2" fillId="0" borderId="0"/>
    <xf numFmtId="0" fontId="7" fillId="0" borderId="0"/>
    <xf numFmtId="0" fontId="2" fillId="0" borderId="0"/>
    <xf numFmtId="0" fontId="2" fillId="0" borderId="0"/>
    <xf numFmtId="44" fontId="22" fillId="0" borderId="0" applyFont="0" applyFill="0" applyBorder="0" applyAlignment="0" applyProtection="0"/>
    <xf numFmtId="43" fontId="1" fillId="0" borderId="0" applyFont="0" applyFill="0" applyBorder="0" applyAlignment="0" applyProtection="0"/>
    <xf numFmtId="165" fontId="1" fillId="0" borderId="0"/>
    <xf numFmtId="43" fontId="1" fillId="0" borderId="0" applyFont="0" applyFill="0" applyBorder="0" applyAlignment="0" applyProtection="0"/>
    <xf numFmtId="9" fontId="1" fillId="0" borderId="0" applyFont="0" applyFill="0" applyBorder="0" applyAlignment="0" applyProtection="0"/>
    <xf numFmtId="165" fontId="1" fillId="0" borderId="0"/>
    <xf numFmtId="165" fontId="1" fillId="0" borderId="0"/>
    <xf numFmtId="0" fontId="1" fillId="0" borderId="0"/>
    <xf numFmtId="0" fontId="1" fillId="0" borderId="0"/>
    <xf numFmtId="0" fontId="1" fillId="0" borderId="0"/>
    <xf numFmtId="0" fontId="1" fillId="0" borderId="0"/>
    <xf numFmtId="43" fontId="22" fillId="0" borderId="0" applyFont="0" applyFill="0" applyBorder="0" applyAlignment="0" applyProtection="0"/>
    <xf numFmtId="44" fontId="22" fillId="0" borderId="0" applyFont="0" applyFill="0" applyBorder="0" applyAlignment="0" applyProtection="0"/>
    <xf numFmtId="0" fontId="53" fillId="19" borderId="0" applyFill="0" applyBorder="0">
      <alignment horizontal="center" wrapText="1"/>
    </xf>
    <xf numFmtId="168" fontId="54" fillId="0" borderId="0" applyNumberFormat="0" applyFill="0" applyBorder="0" applyAlignment="0" applyProtection="0"/>
  </cellStyleXfs>
  <cellXfs count="258">
    <xf numFmtId="168" fontId="0" fillId="0" borderId="0" xfId="0"/>
    <xf numFmtId="164" fontId="5" fillId="0" borderId="0" xfId="0" applyNumberFormat="1" applyFont="1" applyAlignment="1">
      <alignment vertical="center"/>
    </xf>
    <xf numFmtId="168" fontId="7" fillId="0" borderId="0" xfId="0" applyFont="1"/>
    <xf numFmtId="168" fontId="10" fillId="0" borderId="0" xfId="0" applyFont="1"/>
    <xf numFmtId="168" fontId="7" fillId="3" borderId="0" xfId="0" applyFont="1" applyFill="1"/>
    <xf numFmtId="168" fontId="13" fillId="3" borderId="0" xfId="0" applyFont="1" applyFill="1" applyAlignment="1">
      <alignment horizontal="center" vertical="center" wrapText="1"/>
    </xf>
    <xf numFmtId="167" fontId="7" fillId="0" borderId="11" xfId="0" applyNumberFormat="1" applyFont="1" applyBorder="1" applyAlignment="1">
      <alignment horizontal="center" vertical="center"/>
    </xf>
    <xf numFmtId="164" fontId="39" fillId="0" borderId="0" xfId="0" applyNumberFormat="1" applyFont="1" applyAlignment="1">
      <alignment vertical="center"/>
    </xf>
    <xf numFmtId="168" fontId="13" fillId="4" borderId="0" xfId="0" applyFont="1" applyFill="1"/>
    <xf numFmtId="168" fontId="13" fillId="4" borderId="0" xfId="0" applyFont="1" applyFill="1" applyAlignment="1">
      <alignment vertical="center"/>
    </xf>
    <xf numFmtId="168" fontId="13" fillId="14" borderId="0" xfId="0" applyFont="1" applyFill="1" applyAlignment="1">
      <alignment horizontal="center" vertical="center" wrapText="1"/>
    </xf>
    <xf numFmtId="168" fontId="44" fillId="0" borderId="0" xfId="0" applyFont="1" applyAlignment="1">
      <alignment horizontal="center"/>
    </xf>
    <xf numFmtId="168" fontId="44" fillId="3" borderId="0" xfId="0" applyFont="1" applyFill="1" applyAlignment="1">
      <alignment horizontal="center"/>
    </xf>
    <xf numFmtId="168" fontId="42" fillId="0" borderId="0" xfId="0" applyFont="1"/>
    <xf numFmtId="168" fontId="13" fillId="0" borderId="0" xfId="0" applyFont="1"/>
    <xf numFmtId="168" fontId="42" fillId="0" borderId="0" xfId="0" applyFont="1" applyAlignment="1">
      <alignment vertical="center"/>
    </xf>
    <xf numFmtId="164" fontId="13" fillId="4" borderId="0" xfId="0" applyNumberFormat="1" applyFont="1" applyFill="1" applyAlignment="1">
      <alignment horizontal="center"/>
    </xf>
    <xf numFmtId="168" fontId="57" fillId="0" borderId="0" xfId="0" applyFont="1" applyAlignment="1">
      <alignment vertical="center"/>
    </xf>
    <xf numFmtId="168" fontId="58" fillId="21" borderId="28" xfId="0" applyFont="1" applyFill="1" applyBorder="1" applyAlignment="1">
      <alignment vertical="center" wrapText="1"/>
    </xf>
    <xf numFmtId="168" fontId="58" fillId="21" borderId="28" xfId="0" applyFont="1" applyFill="1" applyBorder="1" applyAlignment="1">
      <alignment horizontal="right" vertical="center" wrapText="1"/>
    </xf>
    <xf numFmtId="168" fontId="59" fillId="0" borderId="0" xfId="0" applyFont="1" applyAlignment="1">
      <alignment vertical="center" wrapText="1"/>
    </xf>
    <xf numFmtId="168" fontId="60" fillId="0" borderId="0" xfId="0" applyFont="1" applyAlignment="1">
      <alignment horizontal="right" vertical="center" wrapText="1"/>
    </xf>
    <xf numFmtId="168" fontId="60" fillId="0" borderId="0" xfId="0" applyFont="1" applyAlignment="1">
      <alignment horizontal="left" vertical="center" wrapText="1" indent="2"/>
    </xf>
    <xf numFmtId="168" fontId="59" fillId="22" borderId="0" xfId="0" applyFont="1" applyFill="1" applyAlignment="1">
      <alignment vertical="center" wrapText="1"/>
    </xf>
    <xf numFmtId="168" fontId="60" fillId="22" borderId="29" xfId="0" applyFont="1" applyFill="1" applyBorder="1" applyAlignment="1">
      <alignment vertical="center" wrapText="1"/>
    </xf>
    <xf numFmtId="168" fontId="59" fillId="22" borderId="29" xfId="0" applyFont="1" applyFill="1" applyBorder="1" applyAlignment="1">
      <alignment vertical="center" wrapText="1"/>
    </xf>
    <xf numFmtId="168" fontId="61" fillId="0" borderId="0" xfId="0" applyFont="1" applyAlignment="1">
      <alignment horizontal="left" vertical="center" indent="4"/>
    </xf>
    <xf numFmtId="174" fontId="60" fillId="0" borderId="0" xfId="0" applyNumberFormat="1" applyFont="1" applyAlignment="1">
      <alignment horizontal="right" vertical="center" wrapText="1"/>
    </xf>
    <xf numFmtId="174" fontId="59" fillId="22" borderId="0" xfId="0" applyNumberFormat="1" applyFont="1" applyFill="1" applyAlignment="1">
      <alignment horizontal="right" vertical="center" wrapText="1"/>
    </xf>
    <xf numFmtId="174" fontId="60" fillId="22" borderId="29" xfId="0" applyNumberFormat="1" applyFont="1" applyFill="1" applyBorder="1" applyAlignment="1">
      <alignment horizontal="right" vertical="center" wrapText="1"/>
    </xf>
    <xf numFmtId="174" fontId="59" fillId="22" borderId="29" xfId="0" applyNumberFormat="1" applyFont="1" applyFill="1" applyBorder="1" applyAlignment="1">
      <alignment horizontal="right" vertical="center" wrapText="1"/>
    </xf>
    <xf numFmtId="168" fontId="60" fillId="22" borderId="29" xfId="0" applyFont="1" applyFill="1" applyBorder="1" applyAlignment="1">
      <alignment horizontal="left" vertical="center" wrapText="1" indent="2"/>
    </xf>
    <xf numFmtId="168" fontId="58" fillId="21" borderId="29" xfId="0" applyFont="1" applyFill="1" applyBorder="1" applyAlignment="1">
      <alignment horizontal="right" vertical="center"/>
    </xf>
    <xf numFmtId="168" fontId="60" fillId="0" borderId="0" xfId="0" applyFont="1" applyAlignment="1">
      <alignment vertical="center"/>
    </xf>
    <xf numFmtId="168" fontId="60" fillId="0" borderId="29" xfId="0" applyFont="1" applyBorder="1" applyAlignment="1">
      <alignment vertical="center"/>
    </xf>
    <xf numFmtId="168" fontId="58" fillId="21" borderId="29" xfId="0" applyFont="1" applyFill="1" applyBorder="1" applyAlignment="1">
      <alignment horizontal="center" vertical="center"/>
    </xf>
    <xf numFmtId="172" fontId="60" fillId="0" borderId="0" xfId="39" applyNumberFormat="1" applyFont="1" applyAlignment="1">
      <alignment horizontal="right" vertical="center"/>
    </xf>
    <xf numFmtId="172" fontId="59" fillId="0" borderId="0" xfId="39" applyNumberFormat="1" applyFont="1" applyAlignment="1">
      <alignment horizontal="right" vertical="center"/>
    </xf>
    <xf numFmtId="172" fontId="59" fillId="0" borderId="29" xfId="39" applyNumberFormat="1" applyFont="1" applyBorder="1" applyAlignment="1">
      <alignment horizontal="right" vertical="center"/>
    </xf>
    <xf numFmtId="172" fontId="60" fillId="0" borderId="29" xfId="39" applyNumberFormat="1" applyFont="1" applyBorder="1" applyAlignment="1">
      <alignment horizontal="right" vertical="center"/>
    </xf>
    <xf numFmtId="168" fontId="58" fillId="21" borderId="28" xfId="0" applyFont="1" applyFill="1" applyBorder="1" applyAlignment="1">
      <alignment vertical="center"/>
    </xf>
    <xf numFmtId="168" fontId="59" fillId="0" borderId="0" xfId="0" applyFont="1" applyAlignment="1">
      <alignment vertical="center"/>
    </xf>
    <xf numFmtId="168" fontId="58" fillId="21" borderId="28" xfId="0" applyFont="1" applyFill="1" applyBorder="1" applyAlignment="1">
      <alignment horizontal="center" vertical="center"/>
    </xf>
    <xf numFmtId="174" fontId="60" fillId="0" borderId="0" xfId="0" applyNumberFormat="1" applyFont="1" applyAlignment="1">
      <alignment horizontal="right" vertical="center"/>
    </xf>
    <xf numFmtId="174" fontId="59" fillId="0" borderId="0" xfId="0" applyNumberFormat="1" applyFont="1" applyAlignment="1">
      <alignment horizontal="right" vertical="center"/>
    </xf>
    <xf numFmtId="168" fontId="58" fillId="21" borderId="29" xfId="0" applyFont="1" applyFill="1" applyBorder="1" applyAlignment="1">
      <alignment vertical="center"/>
    </xf>
    <xf numFmtId="168" fontId="58" fillId="21" borderId="30" xfId="0" applyFont="1" applyFill="1" applyBorder="1" applyAlignment="1">
      <alignment vertical="center"/>
    </xf>
    <xf numFmtId="172" fontId="59" fillId="0" borderId="0" xfId="39" applyNumberFormat="1" applyFont="1" applyBorder="1" applyAlignment="1">
      <alignment horizontal="right" vertical="center"/>
    </xf>
    <xf numFmtId="168" fontId="60" fillId="0" borderId="0" xfId="0" applyFont="1"/>
    <xf numFmtId="174" fontId="0" fillId="0" borderId="0" xfId="0" applyNumberFormat="1"/>
    <xf numFmtId="168" fontId="10" fillId="0" borderId="0" xfId="0" applyFont="1" applyProtection="1"/>
    <xf numFmtId="168" fontId="7" fillId="0" borderId="0" xfId="0" applyFont="1" applyProtection="1"/>
    <xf numFmtId="168" fontId="13" fillId="3" borderId="0" xfId="0" applyFont="1" applyFill="1" applyProtection="1"/>
    <xf numFmtId="168" fontId="7" fillId="3" borderId="0" xfId="0" applyFont="1" applyFill="1" applyAlignment="1" applyProtection="1">
      <alignment horizontal="center"/>
    </xf>
    <xf numFmtId="168" fontId="7" fillId="3" borderId="0" xfId="0" applyFont="1" applyFill="1" applyProtection="1"/>
    <xf numFmtId="168" fontId="13" fillId="14" borderId="0" xfId="0" applyFont="1" applyFill="1" applyProtection="1"/>
    <xf numFmtId="168" fontId="13" fillId="3" borderId="0" xfId="0" applyFont="1" applyFill="1" applyAlignment="1" applyProtection="1">
      <alignment horizontal="center"/>
    </xf>
    <xf numFmtId="168" fontId="13" fillId="3" borderId="0" xfId="0" applyFont="1" applyFill="1" applyAlignment="1" applyProtection="1">
      <alignment horizontal="left"/>
    </xf>
    <xf numFmtId="168" fontId="13" fillId="14" borderId="0" xfId="0" applyFont="1" applyFill="1" applyAlignment="1" applyProtection="1">
      <alignment horizontal="left"/>
    </xf>
    <xf numFmtId="168" fontId="0" fillId="0" borderId="0" xfId="0" applyProtection="1"/>
    <xf numFmtId="168" fontId="33" fillId="0" borderId="0" xfId="0" applyFont="1" applyProtection="1"/>
    <xf numFmtId="168" fontId="13" fillId="3" borderId="0" xfId="0" applyFont="1" applyFill="1" applyAlignment="1" applyProtection="1">
      <alignment horizontal="right"/>
    </xf>
    <xf numFmtId="164" fontId="39" fillId="0" borderId="0" xfId="0" applyNumberFormat="1" applyFont="1" applyAlignment="1" applyProtection="1">
      <alignment vertical="center"/>
    </xf>
    <xf numFmtId="164" fontId="8" fillId="2" borderId="1" xfId="0" applyNumberFormat="1" applyFont="1" applyFill="1" applyBorder="1" applyAlignment="1" applyProtection="1">
      <alignment horizontal="left"/>
    </xf>
    <xf numFmtId="164" fontId="8" fillId="2" borderId="1" xfId="0" applyNumberFormat="1" applyFont="1" applyFill="1" applyBorder="1" applyProtection="1"/>
    <xf numFmtId="164" fontId="8" fillId="2" borderId="12" xfId="0" applyNumberFormat="1" applyFont="1" applyFill="1" applyBorder="1" applyProtection="1"/>
    <xf numFmtId="164" fontId="48" fillId="0" borderId="0" xfId="0" applyNumberFormat="1" applyFont="1" applyProtection="1"/>
    <xf numFmtId="168" fontId="48" fillId="0" borderId="0" xfId="0" applyFont="1" applyProtection="1"/>
    <xf numFmtId="168" fontId="58" fillId="21" borderId="0" xfId="0" applyFont="1" applyFill="1" applyBorder="1" applyAlignment="1">
      <alignment horizontal="center"/>
    </xf>
    <xf numFmtId="168" fontId="58" fillId="21" borderId="0" xfId="0" applyFont="1" applyFill="1" applyBorder="1" applyAlignment="1">
      <alignment horizontal="center" vertical="center"/>
    </xf>
    <xf numFmtId="168" fontId="7" fillId="0" borderId="0" xfId="0" applyFont="1" applyProtection="1">
      <protection hidden="1"/>
    </xf>
    <xf numFmtId="168" fontId="10" fillId="0" borderId="0" xfId="0" applyFont="1" applyProtection="1">
      <protection hidden="1"/>
    </xf>
    <xf numFmtId="168" fontId="13" fillId="4" borderId="0" xfId="0" applyFont="1" applyFill="1" applyProtection="1">
      <protection hidden="1"/>
    </xf>
    <xf numFmtId="168" fontId="7" fillId="3" borderId="0" xfId="0" applyFont="1" applyFill="1" applyProtection="1">
      <protection hidden="1"/>
    </xf>
    <xf numFmtId="166" fontId="13" fillId="4" borderId="0" xfId="0" applyNumberFormat="1" applyFont="1" applyFill="1" applyAlignment="1" applyProtection="1">
      <alignment horizontal="center"/>
      <protection hidden="1"/>
    </xf>
    <xf numFmtId="168" fontId="13" fillId="3" borderId="0" xfId="0" applyFont="1" applyFill="1" applyAlignment="1" applyProtection="1">
      <alignment horizontal="right"/>
      <protection hidden="1"/>
    </xf>
    <xf numFmtId="164" fontId="13" fillId="4" borderId="0" xfId="0" applyNumberFormat="1" applyFont="1" applyFill="1" applyAlignment="1" applyProtection="1">
      <alignment horizontal="center"/>
      <protection hidden="1"/>
    </xf>
    <xf numFmtId="168" fontId="13" fillId="3" borderId="0" xfId="0" applyFont="1" applyFill="1" applyAlignment="1" applyProtection="1">
      <alignment horizontal="center"/>
      <protection hidden="1"/>
    </xf>
    <xf numFmtId="168" fontId="33" fillId="0" borderId="0" xfId="0" applyFont="1" applyProtection="1">
      <protection hidden="1"/>
    </xf>
    <xf numFmtId="168" fontId="0" fillId="0" borderId="0" xfId="0" applyProtection="1">
      <protection hidden="1"/>
    </xf>
    <xf numFmtId="168" fontId="13" fillId="17" borderId="0" xfId="0" applyFont="1" applyFill="1" applyAlignment="1" applyProtection="1">
      <alignment horizontal="center" vertical="center" wrapText="1"/>
      <protection hidden="1"/>
    </xf>
    <xf numFmtId="168" fontId="7" fillId="16" borderId="0" xfId="0" applyFont="1" applyFill="1" applyProtection="1">
      <protection hidden="1"/>
    </xf>
    <xf numFmtId="9" fontId="55" fillId="0" borderId="1" xfId="39" applyFont="1" applyFill="1" applyBorder="1" applyAlignment="1" applyProtection="1">
      <alignment horizontal="right"/>
      <protection hidden="1"/>
    </xf>
    <xf numFmtId="167" fontId="7" fillId="0" borderId="11" xfId="0" applyNumberFormat="1" applyFont="1" applyBorder="1" applyAlignment="1" applyProtection="1">
      <alignment horizontal="center" vertical="center"/>
      <protection hidden="1"/>
    </xf>
    <xf numFmtId="168" fontId="13" fillId="3" borderId="0" xfId="0" applyFont="1" applyFill="1" applyAlignment="1" applyProtection="1">
      <alignment horizontal="center" vertical="top"/>
      <protection hidden="1"/>
    </xf>
    <xf numFmtId="168" fontId="13" fillId="3" borderId="0" xfId="0" applyFont="1" applyFill="1" applyAlignment="1" applyProtection="1">
      <alignment horizontal="center" vertical="top" wrapText="1"/>
      <protection hidden="1"/>
    </xf>
    <xf numFmtId="0" fontId="8" fillId="0" borderId="1" xfId="39" applyNumberFormat="1" applyFont="1" applyFill="1" applyBorder="1" applyProtection="1">
      <protection hidden="1"/>
    </xf>
    <xf numFmtId="164" fontId="8" fillId="0" borderId="1" xfId="0" applyNumberFormat="1" applyFont="1" applyBorder="1" applyProtection="1">
      <protection hidden="1"/>
    </xf>
    <xf numFmtId="168" fontId="15" fillId="0" borderId="0" xfId="0" applyFont="1" applyProtection="1">
      <protection hidden="1"/>
    </xf>
    <xf numFmtId="9" fontId="8" fillId="0" borderId="0" xfId="39" applyFont="1" applyFill="1" applyBorder="1" applyProtection="1">
      <protection hidden="1"/>
    </xf>
    <xf numFmtId="164" fontId="9" fillId="0" borderId="0" xfId="39" applyNumberFormat="1" applyFont="1" applyFill="1" applyBorder="1" applyProtection="1">
      <protection hidden="1"/>
    </xf>
    <xf numFmtId="172" fontId="56" fillId="0" borderId="0" xfId="39" applyNumberFormat="1" applyFont="1" applyFill="1" applyBorder="1" applyAlignment="1" applyProtection="1">
      <alignment horizontal="right"/>
      <protection hidden="1"/>
    </xf>
    <xf numFmtId="167" fontId="7" fillId="0" borderId="0" xfId="0" applyNumberFormat="1" applyFont="1" applyAlignment="1" applyProtection="1">
      <alignment horizontal="center" vertical="center"/>
      <protection hidden="1"/>
    </xf>
    <xf numFmtId="175" fontId="7" fillId="0" borderId="0" xfId="0" applyNumberFormat="1" applyFont="1" applyProtection="1">
      <protection hidden="1"/>
    </xf>
    <xf numFmtId="168" fontId="50" fillId="0" borderId="0" xfId="0" applyFont="1" applyAlignment="1" applyProtection="1">
      <alignment horizontal="left"/>
      <protection hidden="1"/>
    </xf>
    <xf numFmtId="168" fontId="13" fillId="3" borderId="0" xfId="0" applyFont="1" applyFill="1" applyProtection="1">
      <protection hidden="1"/>
    </xf>
    <xf numFmtId="168" fontId="7" fillId="3" borderId="0" xfId="0" applyFont="1" applyFill="1" applyAlignment="1" applyProtection="1">
      <alignment horizontal="center"/>
      <protection hidden="1"/>
    </xf>
    <xf numFmtId="168" fontId="13" fillId="14" borderId="0" xfId="0" applyFont="1" applyFill="1" applyProtection="1">
      <protection hidden="1"/>
    </xf>
    <xf numFmtId="168" fontId="13" fillId="3" borderId="0" xfId="0" applyFont="1" applyFill="1" applyAlignment="1" applyProtection="1">
      <alignment horizontal="left"/>
      <protection hidden="1"/>
    </xf>
    <xf numFmtId="168" fontId="13" fillId="14" borderId="0" xfId="0" applyFont="1" applyFill="1" applyAlignment="1" applyProtection="1">
      <alignment horizontal="left"/>
      <protection hidden="1"/>
    </xf>
    <xf numFmtId="168" fontId="7" fillId="0" borderId="0" xfId="0" applyFont="1" applyAlignment="1" applyProtection="1">
      <alignment horizontal="center"/>
      <protection hidden="1"/>
    </xf>
    <xf numFmtId="168" fontId="46" fillId="0" borderId="0" xfId="0" applyFont="1" applyProtection="1">
      <protection hidden="1"/>
    </xf>
    <xf numFmtId="164" fontId="7" fillId="15" borderId="1" xfId="43" applyNumberFormat="1" applyFill="1" applyBorder="1" applyProtection="1">
      <protection hidden="1"/>
    </xf>
    <xf numFmtId="164" fontId="48" fillId="0" borderId="1" xfId="43" applyNumberFormat="1" applyFont="1" applyBorder="1" applyAlignment="1" applyProtection="1">
      <alignment horizontal="right"/>
      <protection hidden="1"/>
    </xf>
    <xf numFmtId="164" fontId="7" fillId="0" borderId="1" xfId="43" applyNumberFormat="1" applyBorder="1" applyProtection="1">
      <protection hidden="1"/>
    </xf>
    <xf numFmtId="164" fontId="55" fillId="0" borderId="1" xfId="43" applyNumberFormat="1" applyFont="1" applyBorder="1" applyAlignment="1" applyProtection="1">
      <alignment horizontal="right"/>
      <protection hidden="1"/>
    </xf>
    <xf numFmtId="164" fontId="15" fillId="0" borderId="13" xfId="43" applyNumberFormat="1" applyFont="1" applyBorder="1" applyProtection="1">
      <protection hidden="1"/>
    </xf>
    <xf numFmtId="168" fontId="43" fillId="0" borderId="0" xfId="0" applyFont="1" applyAlignment="1" applyProtection="1">
      <alignment horizontal="center"/>
      <protection hidden="1"/>
    </xf>
    <xf numFmtId="0" fontId="7" fillId="0" borderId="0" xfId="43" applyAlignment="1" applyProtection="1">
      <alignment wrapText="1"/>
      <protection hidden="1"/>
    </xf>
    <xf numFmtId="0" fontId="7" fillId="0" borderId="0" xfId="43" applyProtection="1">
      <protection hidden="1"/>
    </xf>
    <xf numFmtId="0" fontId="12" fillId="0" borderId="0" xfId="43" applyFont="1" applyProtection="1">
      <protection hidden="1"/>
    </xf>
    <xf numFmtId="0" fontId="15" fillId="0" borderId="0" xfId="43" applyFont="1" applyProtection="1">
      <protection hidden="1"/>
    </xf>
    <xf numFmtId="168" fontId="15" fillId="0" borderId="0" xfId="0" applyFont="1" applyAlignment="1" applyProtection="1">
      <alignment horizontal="center"/>
      <protection hidden="1"/>
    </xf>
    <xf numFmtId="0" fontId="12" fillId="0" borderId="0" xfId="43" applyFont="1" applyAlignment="1" applyProtection="1">
      <alignment wrapText="1"/>
      <protection hidden="1"/>
    </xf>
    <xf numFmtId="0" fontId="33" fillId="0" borderId="0" xfId="45" applyFont="1" applyProtection="1">
      <protection hidden="1"/>
    </xf>
    <xf numFmtId="164" fontId="5" fillId="0" borderId="0" xfId="0" applyNumberFormat="1" applyFont="1" applyAlignment="1" applyProtection="1">
      <alignment vertical="center"/>
      <protection hidden="1"/>
    </xf>
    <xf numFmtId="168" fontId="47" fillId="0" borderId="0" xfId="0" applyFont="1" applyProtection="1">
      <protection hidden="1"/>
    </xf>
    <xf numFmtId="168" fontId="13" fillId="0" borderId="0" xfId="0" applyFont="1" applyAlignment="1" applyProtection="1">
      <alignment horizontal="right"/>
      <protection hidden="1"/>
    </xf>
    <xf numFmtId="168" fontId="44" fillId="0" borderId="0" xfId="0" applyFont="1" applyAlignment="1" applyProtection="1">
      <alignment horizontal="center"/>
      <protection hidden="1"/>
    </xf>
    <xf numFmtId="168" fontId="16" fillId="0" borderId="0" xfId="0" applyFont="1" applyProtection="1">
      <protection hidden="1"/>
    </xf>
    <xf numFmtId="164" fontId="39" fillId="0" borderId="0" xfId="0" applyNumberFormat="1" applyFont="1" applyAlignment="1" applyProtection="1">
      <alignment vertical="center"/>
      <protection hidden="1"/>
    </xf>
    <xf numFmtId="168" fontId="9" fillId="0" borderId="0" xfId="0" applyFont="1" applyProtection="1">
      <protection hidden="1"/>
    </xf>
    <xf numFmtId="168" fontId="8" fillId="0" borderId="0" xfId="0" applyFont="1" applyProtection="1">
      <protection hidden="1"/>
    </xf>
    <xf numFmtId="168" fontId="11" fillId="0" borderId="0" xfId="0" applyFont="1" applyProtection="1">
      <protection hidden="1"/>
    </xf>
    <xf numFmtId="168" fontId="14" fillId="0" borderId="0" xfId="0" applyFont="1" applyProtection="1">
      <protection hidden="1"/>
    </xf>
    <xf numFmtId="167" fontId="7" fillId="0" borderId="0" xfId="0" applyNumberFormat="1" applyFont="1" applyProtection="1">
      <protection hidden="1"/>
    </xf>
    <xf numFmtId="168" fontId="46" fillId="0" borderId="0" xfId="0" applyFont="1" applyAlignment="1" applyProtection="1">
      <alignment horizontal="center"/>
      <protection hidden="1"/>
    </xf>
    <xf numFmtId="168" fontId="13" fillId="4" borderId="0" xfId="0" applyFont="1" applyFill="1" applyAlignment="1" applyProtection="1">
      <alignment horizontal="center"/>
      <protection hidden="1"/>
    </xf>
    <xf numFmtId="168" fontId="7" fillId="0" borderId="14" xfId="0" applyFont="1" applyBorder="1" applyProtection="1">
      <protection hidden="1"/>
    </xf>
    <xf numFmtId="168" fontId="7" fillId="0" borderId="16" xfId="0" applyFont="1" applyBorder="1" applyProtection="1">
      <protection hidden="1"/>
    </xf>
    <xf numFmtId="164" fontId="8" fillId="18" borderId="27" xfId="0" applyNumberFormat="1" applyFont="1" applyFill="1" applyBorder="1" applyProtection="1">
      <protection hidden="1"/>
    </xf>
    <xf numFmtId="164" fontId="8" fillId="18" borderId="25" xfId="0" applyNumberFormat="1" applyFont="1" applyFill="1" applyBorder="1" applyAlignment="1" applyProtection="1">
      <alignment horizontal="right"/>
      <protection hidden="1"/>
    </xf>
    <xf numFmtId="164" fontId="8" fillId="0" borderId="31" xfId="0" applyNumberFormat="1" applyFont="1" applyBorder="1" applyProtection="1">
      <protection hidden="1"/>
    </xf>
    <xf numFmtId="168" fontId="7" fillId="0" borderId="17" xfId="0" applyFont="1" applyBorder="1" applyProtection="1">
      <protection hidden="1"/>
    </xf>
    <xf numFmtId="168" fontId="7" fillId="0" borderId="18" xfId="0" applyFont="1" applyBorder="1" applyProtection="1">
      <protection hidden="1"/>
    </xf>
    <xf numFmtId="164" fontId="8" fillId="0" borderId="32" xfId="0" applyNumberFormat="1" applyFont="1" applyBorder="1" applyProtection="1">
      <protection hidden="1"/>
    </xf>
    <xf numFmtId="168" fontId="7" fillId="0" borderId="19" xfId="0" applyFont="1" applyBorder="1" applyProtection="1">
      <protection hidden="1"/>
    </xf>
    <xf numFmtId="168" fontId="7" fillId="0" borderId="21" xfId="0" applyFont="1" applyBorder="1" applyProtection="1">
      <protection hidden="1"/>
    </xf>
    <xf numFmtId="164" fontId="8" fillId="0" borderId="33" xfId="0" applyNumberFormat="1" applyFont="1" applyBorder="1" applyProtection="1">
      <protection hidden="1"/>
    </xf>
    <xf numFmtId="164" fontId="8" fillId="0" borderId="34" xfId="0" applyNumberFormat="1" applyFont="1" applyBorder="1" applyProtection="1">
      <protection hidden="1"/>
    </xf>
    <xf numFmtId="164" fontId="8" fillId="0" borderId="35" xfId="0" applyNumberFormat="1" applyFont="1" applyBorder="1" applyProtection="1">
      <protection hidden="1"/>
    </xf>
    <xf numFmtId="164" fontId="8" fillId="0" borderId="36" xfId="0" applyNumberFormat="1" applyFont="1" applyBorder="1" applyProtection="1">
      <protection hidden="1"/>
    </xf>
    <xf numFmtId="168" fontId="7" fillId="0" borderId="19" xfId="0" applyFont="1" applyBorder="1" applyAlignment="1" applyProtection="1">
      <alignment vertical="top"/>
      <protection hidden="1"/>
    </xf>
    <xf numFmtId="168" fontId="7" fillId="0" borderId="21" xfId="0" applyFont="1" applyBorder="1" applyAlignment="1" applyProtection="1">
      <alignment vertical="top"/>
      <protection hidden="1"/>
    </xf>
    <xf numFmtId="164" fontId="8" fillId="18" borderId="25" xfId="0" applyNumberFormat="1" applyFont="1" applyFill="1" applyBorder="1" applyAlignment="1" applyProtection="1">
      <alignment horizontal="right" vertical="top"/>
      <protection hidden="1"/>
    </xf>
    <xf numFmtId="164" fontId="8" fillId="0" borderId="23" xfId="0" applyNumberFormat="1" applyFont="1" applyBorder="1" applyAlignment="1" applyProtection="1">
      <alignment vertical="top"/>
      <protection hidden="1"/>
    </xf>
    <xf numFmtId="168" fontId="7" fillId="0" borderId="20" xfId="0" applyFont="1" applyBorder="1" applyProtection="1">
      <protection hidden="1"/>
    </xf>
    <xf numFmtId="164" fontId="8" fillId="0" borderId="23" xfId="0" applyNumberFormat="1" applyFont="1" applyBorder="1" applyProtection="1">
      <protection hidden="1"/>
    </xf>
    <xf numFmtId="164" fontId="8" fillId="0" borderId="24" xfId="0" applyNumberFormat="1" applyFont="1" applyBorder="1" applyProtection="1">
      <protection hidden="1"/>
    </xf>
    <xf numFmtId="168" fontId="15" fillId="0" borderId="22" xfId="0" applyFont="1" applyBorder="1" applyProtection="1">
      <protection hidden="1"/>
    </xf>
    <xf numFmtId="168" fontId="15" fillId="0" borderId="23" xfId="0" applyFont="1" applyBorder="1" applyProtection="1">
      <protection hidden="1"/>
    </xf>
    <xf numFmtId="168" fontId="15" fillId="0" borderId="25" xfId="0" applyFont="1" applyBorder="1" applyProtection="1">
      <protection hidden="1"/>
    </xf>
    <xf numFmtId="168" fontId="15" fillId="0" borderId="24" xfId="0" applyFont="1" applyBorder="1" applyProtection="1">
      <protection hidden="1"/>
    </xf>
    <xf numFmtId="168" fontId="7" fillId="0" borderId="0" xfId="0" applyFont="1" applyAlignment="1" applyProtection="1">
      <alignment horizontal="right"/>
      <protection hidden="1"/>
    </xf>
    <xf numFmtId="164" fontId="8" fillId="18" borderId="1" xfId="0" applyNumberFormat="1" applyFont="1" applyFill="1" applyBorder="1" applyAlignment="1" applyProtection="1">
      <alignment horizontal="right"/>
      <protection hidden="1"/>
    </xf>
    <xf numFmtId="168" fontId="48" fillId="0" borderId="0" xfId="0" applyFont="1" applyProtection="1">
      <protection hidden="1"/>
    </xf>
    <xf numFmtId="164" fontId="8" fillId="0" borderId="26" xfId="0" applyNumberFormat="1" applyFont="1" applyBorder="1" applyProtection="1">
      <protection hidden="1"/>
    </xf>
    <xf numFmtId="9" fontId="55" fillId="0" borderId="0" xfId="39" applyFont="1" applyFill="1" applyBorder="1" applyAlignment="1" applyProtection="1">
      <alignment horizontal="left"/>
      <protection hidden="1"/>
    </xf>
    <xf numFmtId="166" fontId="13" fillId="17" borderId="0" xfId="0" applyNumberFormat="1" applyFont="1" applyFill="1" applyAlignment="1" applyProtection="1">
      <alignment horizontal="center" vertical="center"/>
      <protection hidden="1"/>
    </xf>
    <xf numFmtId="168" fontId="48" fillId="0" borderId="0" xfId="0" applyFont="1" applyAlignment="1" applyProtection="1">
      <alignment horizontal="left"/>
      <protection hidden="1"/>
    </xf>
    <xf numFmtId="168" fontId="13" fillId="17" borderId="0" xfId="0" applyFont="1" applyFill="1" applyProtection="1">
      <protection hidden="1"/>
    </xf>
    <xf numFmtId="168" fontId="12" fillId="0" borderId="0" xfId="0" applyFont="1" applyProtection="1">
      <protection hidden="1"/>
    </xf>
    <xf numFmtId="164" fontId="8" fillId="18" borderId="1" xfId="0" applyNumberFormat="1" applyFont="1" applyFill="1" applyBorder="1" applyProtection="1">
      <protection hidden="1"/>
    </xf>
    <xf numFmtId="168" fontId="45" fillId="0" borderId="0" xfId="0" applyFont="1" applyAlignment="1" applyProtection="1">
      <alignment horizontal="center"/>
      <protection hidden="1"/>
    </xf>
    <xf numFmtId="9" fontId="56" fillId="0" borderId="0" xfId="39" applyFont="1" applyFill="1" applyBorder="1" applyAlignment="1" applyProtection="1">
      <alignment horizontal="right"/>
      <protection hidden="1"/>
    </xf>
    <xf numFmtId="9" fontId="51" fillId="0" borderId="0" xfId="39" applyFont="1" applyFill="1" applyAlignment="1" applyProtection="1">
      <alignment horizontal="right"/>
      <protection hidden="1"/>
    </xf>
    <xf numFmtId="164" fontId="7" fillId="0" borderId="0" xfId="0" applyNumberFormat="1" applyFont="1" applyProtection="1">
      <protection hidden="1"/>
    </xf>
    <xf numFmtId="9" fontId="56" fillId="0" borderId="1" xfId="39" applyFont="1" applyFill="1" applyBorder="1" applyAlignment="1" applyProtection="1">
      <alignment horizontal="right"/>
      <protection hidden="1"/>
    </xf>
    <xf numFmtId="2" fontId="7" fillId="0" borderId="0" xfId="39" applyNumberFormat="1" applyFont="1" applyFill="1" applyProtection="1">
      <protection hidden="1"/>
    </xf>
    <xf numFmtId="164" fontId="9" fillId="0" borderId="1" xfId="0" applyNumberFormat="1" applyFont="1" applyBorder="1" applyProtection="1">
      <protection hidden="1"/>
    </xf>
    <xf numFmtId="168" fontId="40" fillId="0" borderId="0" xfId="0" applyFont="1" applyAlignment="1" applyProtection="1">
      <alignment horizontal="right"/>
      <protection hidden="1"/>
    </xf>
    <xf numFmtId="168" fontId="13" fillId="3" borderId="0" xfId="0" applyFont="1" applyFill="1" applyAlignment="1" applyProtection="1">
      <alignment horizontal="center" vertical="center"/>
      <protection hidden="1"/>
    </xf>
    <xf numFmtId="9" fontId="7" fillId="0" borderId="0" xfId="0" applyNumberFormat="1" applyFont="1" applyProtection="1">
      <protection hidden="1"/>
    </xf>
    <xf numFmtId="173" fontId="8" fillId="2" borderId="1" xfId="46" applyNumberFormat="1" applyFont="1" applyFill="1" applyBorder="1" applyProtection="1">
      <protection hidden="1"/>
    </xf>
    <xf numFmtId="9" fontId="48" fillId="0" borderId="0" xfId="0" applyNumberFormat="1" applyFont="1" applyProtection="1">
      <protection hidden="1"/>
    </xf>
    <xf numFmtId="164" fontId="8" fillId="2" borderId="1" xfId="0" applyNumberFormat="1" applyFont="1" applyFill="1" applyBorder="1" applyProtection="1">
      <protection hidden="1"/>
    </xf>
    <xf numFmtId="168" fontId="52" fillId="0" borderId="0" xfId="0" applyFont="1" applyProtection="1">
      <protection hidden="1"/>
    </xf>
    <xf numFmtId="168" fontId="7" fillId="0" borderId="0" xfId="0" applyFont="1" applyAlignment="1" applyProtection="1">
      <alignment horizontal="left" vertical="center" wrapText="1"/>
      <protection hidden="1"/>
    </xf>
    <xf numFmtId="164" fontId="8" fillId="0" borderId="0" xfId="0" applyNumberFormat="1" applyFont="1" applyProtection="1">
      <protection hidden="1"/>
    </xf>
    <xf numFmtId="172" fontId="7" fillId="0" borderId="0" xfId="39" applyNumberFormat="1" applyFont="1" applyFill="1" applyBorder="1" applyProtection="1">
      <protection hidden="1"/>
    </xf>
    <xf numFmtId="168" fontId="42" fillId="0" borderId="0" xfId="0" applyFont="1" applyProtection="1">
      <protection hidden="1"/>
    </xf>
    <xf numFmtId="171" fontId="15" fillId="0" borderId="0" xfId="0" applyNumberFormat="1" applyFont="1" applyProtection="1">
      <protection hidden="1"/>
    </xf>
    <xf numFmtId="164" fontId="15" fillId="0" borderId="0" xfId="0" applyNumberFormat="1" applyFont="1" applyAlignment="1" applyProtection="1">
      <alignment horizontal="right" vertical="center" wrapText="1"/>
      <protection hidden="1"/>
    </xf>
    <xf numFmtId="164" fontId="7" fillId="0" borderId="0" xfId="0" applyNumberFormat="1" applyFont="1" applyAlignment="1" applyProtection="1">
      <alignment horizontal="right" vertical="center" wrapText="1"/>
      <protection hidden="1"/>
    </xf>
    <xf numFmtId="168" fontId="13" fillId="20" borderId="0" xfId="0" applyFont="1" applyFill="1" applyProtection="1">
      <protection hidden="1"/>
    </xf>
    <xf numFmtId="168" fontId="13" fillId="20" borderId="0" xfId="0" applyFont="1" applyFill="1" applyAlignment="1" applyProtection="1">
      <alignment horizontal="right"/>
      <protection hidden="1"/>
    </xf>
    <xf numFmtId="168" fontId="42" fillId="20" borderId="0" xfId="0" applyFont="1" applyFill="1" applyProtection="1">
      <protection hidden="1"/>
    </xf>
    <xf numFmtId="168" fontId="7" fillId="20" borderId="0" xfId="0" applyFont="1" applyFill="1" applyProtection="1">
      <protection hidden="1"/>
    </xf>
    <xf numFmtId="168" fontId="48" fillId="0" borderId="0" xfId="0" applyFont="1" applyAlignment="1" applyProtection="1">
      <alignment horizontal="center" vertical="center"/>
      <protection hidden="1"/>
    </xf>
    <xf numFmtId="166" fontId="13" fillId="0" borderId="0" xfId="0" applyNumberFormat="1" applyFont="1" applyAlignment="1" applyProtection="1">
      <alignment horizontal="center" vertical="center"/>
      <protection hidden="1"/>
    </xf>
    <xf numFmtId="168" fontId="48" fillId="0" borderId="0" xfId="0" applyFont="1" applyAlignment="1" applyProtection="1">
      <alignment horizontal="right" vertical="center"/>
      <protection hidden="1"/>
    </xf>
    <xf numFmtId="0" fontId="7" fillId="0" borderId="0" xfId="31" applyNumberFormat="1" applyFont="1" applyProtection="1">
      <protection hidden="1"/>
    </xf>
    <xf numFmtId="164" fontId="8" fillId="18" borderId="13" xfId="0" applyNumberFormat="1" applyFont="1" applyFill="1" applyBorder="1" applyProtection="1">
      <protection hidden="1"/>
    </xf>
    <xf numFmtId="9" fontId="48" fillId="0" borderId="0" xfId="39" applyFont="1" applyFill="1" applyAlignment="1" applyProtection="1">
      <alignment horizontal="center" vertical="center"/>
      <protection hidden="1"/>
    </xf>
    <xf numFmtId="170" fontId="8" fillId="0" borderId="0" xfId="0" applyNumberFormat="1" applyFont="1" applyProtection="1">
      <protection hidden="1"/>
    </xf>
    <xf numFmtId="9" fontId="51" fillId="0" borderId="0" xfId="39" applyFont="1" applyFill="1" applyProtection="1">
      <protection hidden="1"/>
    </xf>
    <xf numFmtId="166" fontId="13" fillId="17" borderId="0" xfId="0" applyNumberFormat="1" applyFont="1" applyFill="1" applyAlignment="1" applyProtection="1">
      <alignment horizontal="center"/>
      <protection hidden="1"/>
    </xf>
    <xf numFmtId="168" fontId="7" fillId="0" borderId="0" xfId="0" applyFont="1" applyAlignment="1" applyProtection="1">
      <alignment horizontal="left"/>
      <protection hidden="1"/>
    </xf>
    <xf numFmtId="164" fontId="44" fillId="0" borderId="0" xfId="0" applyNumberFormat="1" applyFont="1" applyAlignment="1" applyProtection="1">
      <alignment horizontal="center"/>
      <protection hidden="1"/>
    </xf>
    <xf numFmtId="164" fontId="8" fillId="0" borderId="1" xfId="39" applyNumberFormat="1" applyFont="1" applyFill="1" applyBorder="1" applyProtection="1">
      <protection hidden="1"/>
    </xf>
    <xf numFmtId="168" fontId="15" fillId="0" borderId="0" xfId="0" applyFont="1" applyAlignment="1" applyProtection="1">
      <alignment horizontal="left"/>
      <protection hidden="1"/>
    </xf>
    <xf numFmtId="164" fontId="15" fillId="0" borderId="0" xfId="0" applyNumberFormat="1" applyFont="1" applyAlignment="1" applyProtection="1">
      <alignment horizontal="right"/>
      <protection hidden="1"/>
    </xf>
    <xf numFmtId="168" fontId="12" fillId="0" borderId="0" xfId="0" applyFont="1" applyAlignment="1" applyProtection="1">
      <alignment horizontal="left"/>
      <protection hidden="1"/>
    </xf>
    <xf numFmtId="174" fontId="7" fillId="0" borderId="0" xfId="0" applyNumberFormat="1" applyFont="1" applyAlignment="1" applyProtection="1">
      <alignment horizontal="left"/>
      <protection hidden="1"/>
    </xf>
    <xf numFmtId="9" fontId="7" fillId="0" borderId="0" xfId="0" applyNumberFormat="1" applyFont="1" applyAlignment="1" applyProtection="1">
      <alignment horizontal="left"/>
      <protection hidden="1"/>
    </xf>
    <xf numFmtId="173" fontId="8" fillId="0" borderId="1" xfId="46" applyNumberFormat="1" applyFont="1" applyFill="1" applyBorder="1" applyProtection="1">
      <protection hidden="1"/>
    </xf>
    <xf numFmtId="168" fontId="44" fillId="3" borderId="0" xfId="0" applyFont="1" applyFill="1" applyAlignment="1" applyProtection="1">
      <alignment horizontal="center"/>
      <protection hidden="1"/>
    </xf>
    <xf numFmtId="164" fontId="13" fillId="17" borderId="0" xfId="0" applyNumberFormat="1" applyFont="1" applyFill="1" applyAlignment="1" applyProtection="1">
      <alignment horizontal="center"/>
      <protection hidden="1"/>
    </xf>
    <xf numFmtId="168" fontId="13" fillId="4" borderId="0" xfId="0" applyFont="1" applyFill="1" applyAlignment="1" applyProtection="1">
      <alignment vertical="center"/>
      <protection hidden="1"/>
    </xf>
    <xf numFmtId="168" fontId="13" fillId="3" borderId="0" xfId="0" applyFont="1" applyFill="1" applyAlignment="1" applyProtection="1">
      <alignment horizontal="center" vertical="center" wrapText="1"/>
      <protection hidden="1"/>
    </xf>
    <xf numFmtId="168" fontId="13" fillId="14" borderId="0" xfId="0" applyFont="1" applyFill="1" applyAlignment="1" applyProtection="1">
      <alignment horizontal="center" vertical="center" wrapText="1"/>
      <protection hidden="1"/>
    </xf>
    <xf numFmtId="168" fontId="42" fillId="0" borderId="0" xfId="0" applyFont="1" applyAlignment="1" applyProtection="1">
      <alignment vertical="center"/>
      <protection hidden="1"/>
    </xf>
    <xf numFmtId="168" fontId="13" fillId="17" borderId="0" xfId="0" applyFont="1" applyFill="1" applyAlignment="1" applyProtection="1">
      <alignment vertical="center"/>
      <protection hidden="1"/>
    </xf>
    <xf numFmtId="168" fontId="13" fillId="4" borderId="0" xfId="0" applyFont="1" applyFill="1" applyAlignment="1" applyProtection="1">
      <alignment horizontal="center" vertical="center" wrapText="1"/>
      <protection hidden="1"/>
    </xf>
    <xf numFmtId="168" fontId="7" fillId="0" borderId="0" xfId="0" applyFont="1" applyAlignment="1" applyProtection="1">
      <alignment vertical="center"/>
      <protection hidden="1"/>
    </xf>
    <xf numFmtId="0" fontId="8" fillId="0" borderId="1" xfId="0" applyNumberFormat="1" applyFont="1" applyBorder="1" applyProtection="1">
      <protection hidden="1"/>
    </xf>
    <xf numFmtId="164" fontId="8" fillId="16" borderId="1" xfId="0" applyNumberFormat="1" applyFont="1" applyFill="1" applyBorder="1" applyProtection="1">
      <protection hidden="1"/>
    </xf>
    <xf numFmtId="168" fontId="13" fillId="0" borderId="0" xfId="0" applyFont="1" applyProtection="1">
      <protection hidden="1"/>
    </xf>
    <xf numFmtId="168" fontId="15" fillId="16" borderId="0" xfId="0" applyFont="1" applyFill="1" applyProtection="1">
      <protection hidden="1"/>
    </xf>
    <xf numFmtId="164" fontId="9" fillId="16" borderId="0" xfId="0" applyNumberFormat="1" applyFont="1" applyFill="1" applyProtection="1">
      <protection hidden="1"/>
    </xf>
    <xf numFmtId="164" fontId="9" fillId="0" borderId="0" xfId="0" applyNumberFormat="1" applyFont="1" applyProtection="1">
      <protection hidden="1"/>
    </xf>
    <xf numFmtId="168" fontId="15" fillId="0" borderId="0" xfId="0" applyFont="1" applyAlignment="1" applyProtection="1">
      <alignment horizontal="right"/>
      <protection hidden="1"/>
    </xf>
    <xf numFmtId="168" fontId="7" fillId="0" borderId="0" xfId="0" applyFont="1" applyAlignment="1" applyProtection="1">
      <alignment vertical="center" wrapText="1"/>
      <protection hidden="1"/>
    </xf>
    <xf numFmtId="9" fontId="7" fillId="0" borderId="0" xfId="39" applyFont="1" applyProtection="1">
      <protection hidden="1"/>
    </xf>
    <xf numFmtId="168" fontId="13" fillId="3" borderId="0" xfId="0" applyFont="1" applyFill="1" applyAlignment="1" applyProtection="1">
      <alignment horizontal="center" wrapText="1"/>
      <protection hidden="1"/>
    </xf>
    <xf numFmtId="168" fontId="13" fillId="14" borderId="0" xfId="0" applyFont="1" applyFill="1" applyAlignment="1" applyProtection="1">
      <alignment horizontal="center" wrapText="1"/>
      <protection hidden="1"/>
    </xf>
    <xf numFmtId="168" fontId="13" fillId="4" borderId="0" xfId="0" applyFont="1" applyFill="1" applyAlignment="1" applyProtection="1">
      <alignment horizontal="center" wrapText="1"/>
      <protection hidden="1"/>
    </xf>
    <xf numFmtId="9" fontId="0" fillId="0" borderId="0" xfId="39" applyFont="1" applyProtection="1">
      <protection hidden="1"/>
    </xf>
    <xf numFmtId="168" fontId="63" fillId="0" borderId="0" xfId="0" applyFont="1" applyProtection="1">
      <protection hidden="1"/>
    </xf>
    <xf numFmtId="0" fontId="7" fillId="0" borderId="0" xfId="0" applyNumberFormat="1" applyFont="1" applyAlignment="1" applyProtection="1">
      <alignment horizontal="left" vertical="top" wrapText="1"/>
      <protection hidden="1"/>
    </xf>
    <xf numFmtId="0" fontId="7" fillId="0" borderId="0" xfId="43" applyAlignment="1" applyProtection="1">
      <alignment horizontal="left" wrapText="1"/>
      <protection hidden="1"/>
    </xf>
    <xf numFmtId="0" fontId="7" fillId="0" borderId="0" xfId="43" applyAlignment="1" applyProtection="1">
      <alignment horizontal="left" vertical="top" wrapText="1"/>
      <protection hidden="1"/>
    </xf>
    <xf numFmtId="168" fontId="48" fillId="0" borderId="22" xfId="0" applyFont="1" applyBorder="1" applyAlignment="1" applyProtection="1">
      <alignment horizontal="left" vertical="top" wrapText="1"/>
      <protection hidden="1"/>
    </xf>
    <xf numFmtId="168" fontId="48" fillId="0" borderId="23" xfId="0" applyFont="1" applyBorder="1" applyAlignment="1" applyProtection="1">
      <alignment horizontal="left" vertical="top" wrapText="1"/>
      <protection hidden="1"/>
    </xf>
    <xf numFmtId="168" fontId="48" fillId="0" borderId="24" xfId="0" applyFont="1" applyBorder="1" applyAlignment="1" applyProtection="1">
      <alignment horizontal="left" vertical="top" wrapText="1"/>
      <protection hidden="1"/>
    </xf>
    <xf numFmtId="168" fontId="13" fillId="4" borderId="0" xfId="0" applyFont="1" applyFill="1" applyAlignment="1" applyProtection="1">
      <alignment horizontal="center"/>
      <protection hidden="1"/>
    </xf>
    <xf numFmtId="168" fontId="62" fillId="0" borderId="14" xfId="60" applyFont="1" applyBorder="1" applyAlignment="1" applyProtection="1">
      <alignment horizontal="left" vertical="top" wrapText="1"/>
      <protection hidden="1"/>
    </xf>
    <xf numFmtId="168" fontId="62" fillId="0" borderId="15" xfId="60" applyFont="1" applyBorder="1" applyAlignment="1" applyProtection="1">
      <alignment horizontal="left" vertical="top" wrapText="1"/>
      <protection hidden="1"/>
    </xf>
    <xf numFmtId="168" fontId="62" fillId="0" borderId="16" xfId="60" applyFont="1" applyBorder="1" applyAlignment="1" applyProtection="1">
      <alignment horizontal="left" vertical="top" wrapText="1"/>
      <protection hidden="1"/>
    </xf>
    <xf numFmtId="168" fontId="62" fillId="0" borderId="17" xfId="60" applyFont="1" applyBorder="1" applyAlignment="1" applyProtection="1">
      <alignment horizontal="left" vertical="top" wrapText="1"/>
      <protection hidden="1"/>
    </xf>
    <xf numFmtId="168" fontId="62" fillId="0" borderId="0" xfId="60" applyFont="1" applyBorder="1" applyAlignment="1" applyProtection="1">
      <alignment horizontal="left" vertical="top" wrapText="1"/>
      <protection hidden="1"/>
    </xf>
    <xf numFmtId="168" fontId="62" fillId="0" borderId="18" xfId="60" applyFont="1" applyBorder="1" applyAlignment="1" applyProtection="1">
      <alignment horizontal="left" vertical="top" wrapText="1"/>
      <protection hidden="1"/>
    </xf>
    <xf numFmtId="168" fontId="62" fillId="0" borderId="19" xfId="60" applyFont="1" applyBorder="1" applyAlignment="1" applyProtection="1">
      <alignment horizontal="left" vertical="top" wrapText="1"/>
      <protection hidden="1"/>
    </xf>
    <xf numFmtId="168" fontId="62" fillId="0" borderId="20" xfId="60" applyFont="1" applyBorder="1" applyAlignment="1" applyProtection="1">
      <alignment horizontal="left" vertical="top" wrapText="1"/>
      <protection hidden="1"/>
    </xf>
    <xf numFmtId="168" fontId="62" fillId="0" borderId="21" xfId="60" applyFont="1" applyBorder="1" applyAlignment="1" applyProtection="1">
      <alignment horizontal="left" vertical="top" wrapText="1"/>
      <protection hidden="1"/>
    </xf>
    <xf numFmtId="168" fontId="48" fillId="0" borderId="14" xfId="0" applyFont="1" applyBorder="1" applyAlignment="1" applyProtection="1">
      <alignment horizontal="left" vertical="top" wrapText="1"/>
      <protection hidden="1"/>
    </xf>
    <xf numFmtId="168" fontId="48" fillId="0" borderId="15" xfId="0" applyFont="1" applyBorder="1" applyAlignment="1" applyProtection="1">
      <alignment horizontal="left" vertical="top" wrapText="1"/>
      <protection hidden="1"/>
    </xf>
    <xf numFmtId="168" fontId="48" fillId="0" borderId="16" xfId="0" applyFont="1" applyBorder="1" applyAlignment="1" applyProtection="1">
      <alignment horizontal="left" vertical="top" wrapText="1"/>
      <protection hidden="1"/>
    </xf>
    <xf numFmtId="168" fontId="48" fillId="0" borderId="17" xfId="0" applyFont="1" applyBorder="1" applyAlignment="1" applyProtection="1">
      <alignment horizontal="left" vertical="top" wrapText="1"/>
      <protection hidden="1"/>
    </xf>
    <xf numFmtId="168" fontId="48" fillId="0" borderId="0" xfId="0" applyFont="1" applyAlignment="1" applyProtection="1">
      <alignment horizontal="left" vertical="top" wrapText="1"/>
      <protection hidden="1"/>
    </xf>
    <xf numFmtId="168" fontId="48" fillId="0" borderId="18" xfId="0" applyFont="1" applyBorder="1" applyAlignment="1" applyProtection="1">
      <alignment horizontal="left" vertical="top" wrapText="1"/>
      <protection hidden="1"/>
    </xf>
    <xf numFmtId="168" fontId="48" fillId="0" borderId="19" xfId="0" applyFont="1" applyBorder="1" applyAlignment="1" applyProtection="1">
      <alignment horizontal="left" vertical="top" wrapText="1"/>
      <protection hidden="1"/>
    </xf>
    <xf numFmtId="168" fontId="48" fillId="0" borderId="20" xfId="0" applyFont="1" applyBorder="1" applyAlignment="1" applyProtection="1">
      <alignment horizontal="left" vertical="top" wrapText="1"/>
      <protection hidden="1"/>
    </xf>
    <xf numFmtId="168" fontId="48" fillId="0" borderId="21" xfId="0" applyFont="1" applyBorder="1" applyAlignment="1" applyProtection="1">
      <alignment horizontal="left" vertical="top" wrapText="1"/>
      <protection hidden="1"/>
    </xf>
    <xf numFmtId="168" fontId="58" fillId="21" borderId="30" xfId="0" applyFont="1" applyFill="1" applyBorder="1" applyAlignment="1">
      <alignment horizontal="center"/>
    </xf>
    <xf numFmtId="168" fontId="58" fillId="21" borderId="29" xfId="0" applyFont="1" applyFill="1" applyBorder="1" applyAlignment="1">
      <alignment horizontal="center"/>
    </xf>
    <xf numFmtId="168" fontId="58" fillId="21" borderId="30" xfId="0" applyFont="1" applyFill="1" applyBorder="1" applyAlignment="1">
      <alignment horizontal="center" vertical="center"/>
    </xf>
    <xf numFmtId="168" fontId="58" fillId="21" borderId="0" xfId="0" applyFont="1" applyFill="1" applyBorder="1" applyAlignment="1">
      <alignment horizontal="center"/>
    </xf>
  </cellXfs>
  <cellStyles count="61">
    <cellStyle name="0,0_x000d__x000a_NA_x000d__x000a_" xfId="1" xr:uid="{00000000-0005-0000-0000-000000000000}"/>
    <cellStyle name="Bad" xfId="10" builtinId="27" customBuiltin="1"/>
    <cellStyle name="Calculation" xfId="14" builtinId="22" customBuiltin="1"/>
    <cellStyle name="Check Cell" xfId="16" builtinId="23" customBuiltin="1"/>
    <cellStyle name="Comma 2" xfId="3" xr:uid="{00000000-0005-0000-0000-000005000000}"/>
    <cellStyle name="Comma 2 2" xfId="47" xr:uid="{00000000-0005-0000-0000-000005000000}"/>
    <cellStyle name="Comma 3" xfId="57" xr:uid="{00000000-0005-0000-0000-00004D000000}"/>
    <cellStyle name="Comma 7" xfId="33" xr:uid="{00000000-0005-0000-0000-000006000000}"/>
    <cellStyle name="Comma 7 2" xfId="49" xr:uid="{00000000-0005-0000-0000-000006000000}"/>
    <cellStyle name="Currency" xfId="46" builtinId="4"/>
    <cellStyle name="Currency 2" xfId="58" xr:uid="{00000000-0005-0000-0000-000050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3 wrap" xfId="59" xr:uid="{88FAC19A-4EA6-4EAB-99D1-B8F3F70C6B61}"/>
    <cellStyle name="Hyperlink" xfId="60" builtinId="8"/>
    <cellStyle name="Input" xfId="12" builtinId="20" customBuiltin="1"/>
    <cellStyle name="Input 2" xfId="40" xr:uid="{00000000-0005-0000-0000-00000E000000}"/>
    <cellStyle name="Linked Cell" xfId="15" builtinId="24" customBuiltin="1"/>
    <cellStyle name="Neutral" xfId="11" builtinId="28" customBuiltin="1"/>
    <cellStyle name="Normal" xfId="0" builtinId="0" customBuiltin="1"/>
    <cellStyle name="Normal 11" xfId="35" xr:uid="{00000000-0005-0000-0000-000012000000}"/>
    <cellStyle name="Normal 11 2" xfId="51" xr:uid="{00000000-0005-0000-0000-000012000000}"/>
    <cellStyle name="Normal 12" xfId="32" xr:uid="{00000000-0005-0000-0000-000013000000}"/>
    <cellStyle name="Normal 12 2" xfId="37" xr:uid="{00000000-0005-0000-0000-000014000000}"/>
    <cellStyle name="Normal 12 2 2" xfId="52" xr:uid="{00000000-0005-0000-0000-000014000000}"/>
    <cellStyle name="Normal 13 2" xfId="42" xr:uid="{00000000-0005-0000-0000-000015000000}"/>
    <cellStyle name="Normal 13 2 2" xfId="54" xr:uid="{00000000-0005-0000-0000-000015000000}"/>
    <cellStyle name="Normal 2" xfId="31" xr:uid="{00000000-0005-0000-0000-000016000000}"/>
    <cellStyle name="Normal 2 2" xfId="36" xr:uid="{00000000-0005-0000-0000-000017000000}"/>
    <cellStyle name="Normal 2 3" xfId="48" xr:uid="{00000000-0005-0000-0000-000016000000}"/>
    <cellStyle name="Normal 3" xfId="2" xr:uid="{00000000-0005-0000-0000-000018000000}"/>
    <cellStyle name="Normal 3 2" xfId="38" xr:uid="{00000000-0005-0000-0000-000019000000}"/>
    <cellStyle name="Normal 3 2 2" xfId="45" xr:uid="{00000000-0005-0000-0000-00001A000000}"/>
    <cellStyle name="Normal 3 2 2 2" xfId="56" xr:uid="{00000000-0005-0000-0000-00001A000000}"/>
    <cellStyle name="Normal 4" xfId="43" xr:uid="{00000000-0005-0000-0000-00001B000000}"/>
    <cellStyle name="Normal 6" xfId="41" xr:uid="{00000000-0005-0000-0000-00001C000000}"/>
    <cellStyle name="Normal 6 2" xfId="53" xr:uid="{00000000-0005-0000-0000-00001C000000}"/>
    <cellStyle name="Normal 8" xfId="44" xr:uid="{00000000-0005-0000-0000-00001D000000}"/>
    <cellStyle name="Normal 8 2" xfId="55" xr:uid="{00000000-0005-0000-0000-00001D000000}"/>
    <cellStyle name="Note" xfId="17" builtinId="10" customBuiltin="1"/>
    <cellStyle name="Output" xfId="13" builtinId="21" customBuiltin="1"/>
    <cellStyle name="Percent" xfId="39" builtinId="5"/>
    <cellStyle name="Percent 2" xfId="34" xr:uid="{00000000-0005-0000-0000-000021000000}"/>
    <cellStyle name="Percent 2 2" xfId="50" xr:uid="{00000000-0005-0000-0000-000021000000}"/>
    <cellStyle name="Smart Bold" xfId="20" xr:uid="{00000000-0005-0000-0000-000022000000}"/>
    <cellStyle name="Smart Forecast" xfId="21" xr:uid="{00000000-0005-0000-0000-000023000000}"/>
    <cellStyle name="Smart General" xfId="22" xr:uid="{00000000-0005-0000-0000-000024000000}"/>
    <cellStyle name="Smart Highlight" xfId="23" xr:uid="{00000000-0005-0000-0000-000025000000}"/>
    <cellStyle name="Smart Percent" xfId="24" xr:uid="{00000000-0005-0000-0000-000026000000}"/>
    <cellStyle name="Smart Source" xfId="25" xr:uid="{00000000-0005-0000-0000-000027000000}"/>
    <cellStyle name="Smart Subtitle 1" xfId="26" xr:uid="{00000000-0005-0000-0000-000028000000}"/>
    <cellStyle name="Smart Subtitle 2" xfId="27" xr:uid="{00000000-0005-0000-0000-000029000000}"/>
    <cellStyle name="Smart Subtotal" xfId="28" xr:uid="{00000000-0005-0000-0000-00002A000000}"/>
    <cellStyle name="Smart Title" xfId="29" xr:uid="{00000000-0005-0000-0000-00002B000000}"/>
    <cellStyle name="Smart Total" xfId="30" xr:uid="{00000000-0005-0000-0000-00002C000000}"/>
    <cellStyle name="Title" xfId="4" builtinId="15" customBuiltin="1"/>
    <cellStyle name="Total" xfId="19" builtinId="25" customBuiltin="1"/>
  </cellStyles>
  <dxfs count="87">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auto="1"/>
      </font>
      <fill>
        <patternFill patternType="none">
          <fgColor indexed="64"/>
          <bgColor indexed="65"/>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Medium9"/>
  <colors>
    <mruColors>
      <color rgb="FFCCFF66"/>
      <color rgb="FFFFF1CC"/>
      <color rgb="FFDC6900"/>
      <color rgb="FF00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88490</xdr:colOff>
      <xdr:row>43</xdr:row>
      <xdr:rowOff>141195</xdr:rowOff>
    </xdr:from>
    <xdr:to>
      <xdr:col>7</xdr:col>
      <xdr:colOff>428625</xdr:colOff>
      <xdr:row>62</xdr:row>
      <xdr:rowOff>9524</xdr:rowOff>
    </xdr:to>
    <xdr:grpSp>
      <xdr:nvGrpSpPr>
        <xdr:cNvPr id="80" name="Group 79">
          <a:extLst>
            <a:ext uri="{FF2B5EF4-FFF2-40B4-BE49-F238E27FC236}">
              <a16:creationId xmlns:a16="http://schemas.microsoft.com/office/drawing/2014/main" id="{00000000-0008-0000-0000-000050000000}"/>
            </a:ext>
          </a:extLst>
        </xdr:cNvPr>
        <xdr:cNvGrpSpPr/>
      </xdr:nvGrpSpPr>
      <xdr:grpSpPr>
        <a:xfrm>
          <a:off x="269465" y="6951570"/>
          <a:ext cx="9350785" cy="2763929"/>
          <a:chOff x="267782" y="2707341"/>
          <a:chExt cx="9369740" cy="2849656"/>
        </a:xfrm>
      </xdr:grpSpPr>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7782" y="3040216"/>
            <a:ext cx="1056647" cy="46431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Target Revenue</a:t>
            </a:r>
          </a:p>
        </xdr:txBody>
      </xdr:sp>
      <xdr:cxnSp macro="">
        <xdr:nvCxnSpPr>
          <xdr:cNvPr id="13" name="Straight Arrow Connector 12">
            <a:extLst>
              <a:ext uri="{FF2B5EF4-FFF2-40B4-BE49-F238E27FC236}">
                <a16:creationId xmlns:a16="http://schemas.microsoft.com/office/drawing/2014/main" id="{00000000-0008-0000-0000-00000D000000}"/>
              </a:ext>
            </a:extLst>
          </xdr:cNvPr>
          <xdr:cNvCxnSpPr>
            <a:endCxn id="33" idx="1"/>
          </xdr:cNvCxnSpPr>
        </xdr:nvCxnSpPr>
        <xdr:spPr>
          <a:xfrm flipV="1">
            <a:off x="1345634" y="5133446"/>
            <a:ext cx="1047759" cy="1860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642792" y="3101889"/>
            <a:ext cx="1062619" cy="64814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Pricing Area Allocations</a:t>
            </a:r>
          </a:p>
        </xdr:txBody>
      </xdr:sp>
      <xdr:cxnSp macro="">
        <xdr:nvCxnSpPr>
          <xdr:cNvPr id="41" name="Straight Arrow Connector 40">
            <a:extLst>
              <a:ext uri="{FF2B5EF4-FFF2-40B4-BE49-F238E27FC236}">
                <a16:creationId xmlns:a16="http://schemas.microsoft.com/office/drawing/2014/main" id="{00000000-0008-0000-0000-000029000000}"/>
              </a:ext>
            </a:extLst>
          </xdr:cNvPr>
          <xdr:cNvCxnSpPr>
            <a:endCxn id="32" idx="1"/>
          </xdr:cNvCxnSpPr>
        </xdr:nvCxnSpPr>
        <xdr:spPr>
          <a:xfrm flipV="1">
            <a:off x="3440045" y="4829013"/>
            <a:ext cx="1186715" cy="2996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1355178" y="4304242"/>
            <a:ext cx="3300215" cy="2805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148835" y="2994421"/>
            <a:ext cx="1488687" cy="2562576"/>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Pricing Methodology Tables</a:t>
            </a:r>
          </a:p>
        </xdr:txBody>
      </xdr:sp>
      <xdr:cxnSp macro="">
        <xdr:nvCxnSpPr>
          <xdr:cNvPr id="49" name="Straight Arrow Connector 48">
            <a:extLst>
              <a:ext uri="{FF2B5EF4-FFF2-40B4-BE49-F238E27FC236}">
                <a16:creationId xmlns:a16="http://schemas.microsoft.com/office/drawing/2014/main" id="{00000000-0008-0000-0000-000031000000}"/>
              </a:ext>
            </a:extLst>
          </xdr:cNvPr>
          <xdr:cNvCxnSpPr/>
        </xdr:nvCxnSpPr>
        <xdr:spPr>
          <a:xfrm flipV="1">
            <a:off x="1353000" y="3642014"/>
            <a:ext cx="3311937" cy="6607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a:extLst>
              <a:ext uri="{FF2B5EF4-FFF2-40B4-BE49-F238E27FC236}">
                <a16:creationId xmlns:a16="http://schemas.microsoft.com/office/drawing/2014/main" id="{00000000-0008-0000-0000-000032000000}"/>
              </a:ext>
            </a:extLst>
          </xdr:cNvPr>
          <xdr:cNvCxnSpPr>
            <a:stCxn id="3" idx="3"/>
            <a:endCxn id="16" idx="1"/>
          </xdr:cNvCxnSpPr>
        </xdr:nvCxnSpPr>
        <xdr:spPr>
          <a:xfrm>
            <a:off x="1324429" y="3272372"/>
            <a:ext cx="3318363" cy="1535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268941" y="2707341"/>
            <a:ext cx="1053353"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Inputs</a:t>
            </a:r>
          </a:p>
        </xdr:txBody>
      </xdr:sp>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3485028" y="2707341"/>
            <a:ext cx="1053353"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Calculations</a:t>
            </a:r>
          </a:p>
        </xdr:txBody>
      </xdr:sp>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6741455" y="2707341"/>
            <a:ext cx="1053353"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Outputs</a:t>
            </a:r>
          </a:p>
        </xdr:txBody>
      </xdr:sp>
    </xdr:grpSp>
    <xdr:clientData/>
  </xdr:twoCellAnchor>
  <xdr:twoCellAnchor>
    <xdr:from>
      <xdr:col>1</xdr:col>
      <xdr:colOff>104775</xdr:colOff>
      <xdr:row>59</xdr:row>
      <xdr:rowOff>0</xdr:rowOff>
    </xdr:from>
    <xdr:to>
      <xdr:col>1</xdr:col>
      <xdr:colOff>1159284</xdr:colOff>
      <xdr:row>61</xdr:row>
      <xdr:rowOff>145544</xdr:rowOff>
    </xdr:to>
    <xdr:sp macro="" textlink="">
      <xdr:nvSpPr>
        <xdr:cNvPr id="28" name="TextBox 27">
          <a:extLst>
            <a:ext uri="{FF2B5EF4-FFF2-40B4-BE49-F238E27FC236}">
              <a16:creationId xmlns:a16="http://schemas.microsoft.com/office/drawing/2014/main" id="{342A0822-333C-4C94-8DDD-62AB5477E957}"/>
            </a:ext>
          </a:extLst>
        </xdr:cNvPr>
        <xdr:cNvSpPr txBox="1"/>
      </xdr:nvSpPr>
      <xdr:spPr>
        <a:xfrm>
          <a:off x="285750" y="5372100"/>
          <a:ext cx="1054509" cy="45034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Asset Mapping</a:t>
          </a:r>
        </a:p>
      </xdr:txBody>
    </xdr:sp>
    <xdr:clientData/>
  </xdr:twoCellAnchor>
  <xdr:twoCellAnchor>
    <xdr:from>
      <xdr:col>1</xdr:col>
      <xdr:colOff>114300</xdr:colOff>
      <xdr:row>52</xdr:row>
      <xdr:rowOff>95250</xdr:rowOff>
    </xdr:from>
    <xdr:to>
      <xdr:col>1</xdr:col>
      <xdr:colOff>1168809</xdr:colOff>
      <xdr:row>55</xdr:row>
      <xdr:rowOff>88394</xdr:rowOff>
    </xdr:to>
    <xdr:sp macro="" textlink="">
      <xdr:nvSpPr>
        <xdr:cNvPr id="29" name="TextBox 28">
          <a:extLst>
            <a:ext uri="{FF2B5EF4-FFF2-40B4-BE49-F238E27FC236}">
              <a16:creationId xmlns:a16="http://schemas.microsoft.com/office/drawing/2014/main" id="{E5470B1C-5668-4F48-BA32-2F7A33EF900B}"/>
            </a:ext>
          </a:extLst>
        </xdr:cNvPr>
        <xdr:cNvSpPr txBox="1"/>
      </xdr:nvSpPr>
      <xdr:spPr>
        <a:xfrm>
          <a:off x="295275" y="4400550"/>
          <a:ext cx="1054509" cy="45034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Allocator Data</a:t>
          </a:r>
        </a:p>
      </xdr:txBody>
    </xdr:sp>
    <xdr:clientData/>
  </xdr:twoCellAnchor>
  <xdr:twoCellAnchor>
    <xdr:from>
      <xdr:col>3</xdr:col>
      <xdr:colOff>942975</xdr:colOff>
      <xdr:row>55</xdr:row>
      <xdr:rowOff>38100</xdr:rowOff>
    </xdr:from>
    <xdr:to>
      <xdr:col>4</xdr:col>
      <xdr:colOff>641369</xdr:colOff>
      <xdr:row>59</xdr:row>
      <xdr:rowOff>92780</xdr:rowOff>
    </xdr:to>
    <xdr:sp macro="" textlink="">
      <xdr:nvSpPr>
        <xdr:cNvPr id="32" name="TextBox 31">
          <a:extLst>
            <a:ext uri="{FF2B5EF4-FFF2-40B4-BE49-F238E27FC236}">
              <a16:creationId xmlns:a16="http://schemas.microsoft.com/office/drawing/2014/main" id="{D3313604-97C5-4CCC-B6A7-123622209B35}"/>
            </a:ext>
          </a:extLst>
        </xdr:cNvPr>
        <xdr:cNvSpPr txBox="1"/>
      </xdr:nvSpPr>
      <xdr:spPr>
        <a:xfrm>
          <a:off x="4619625" y="4800600"/>
          <a:ext cx="1060469" cy="66428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Customer</a:t>
          </a:r>
          <a:r>
            <a:rPr lang="en-US" sz="1100" b="1" baseline="0">
              <a:solidFill>
                <a:schemeClr val="bg1"/>
              </a:solidFill>
            </a:rPr>
            <a:t> Load Group Allocations</a:t>
          </a:r>
          <a:endParaRPr lang="en-US" sz="1100" b="1">
            <a:solidFill>
              <a:schemeClr val="bg1"/>
            </a:solidFill>
          </a:endParaRPr>
        </a:p>
      </xdr:txBody>
    </xdr:sp>
    <xdr:clientData/>
  </xdr:twoCellAnchor>
  <xdr:twoCellAnchor>
    <xdr:from>
      <xdr:col>1</xdr:col>
      <xdr:colOff>2209800</xdr:colOff>
      <xdr:row>56</xdr:row>
      <xdr:rowOff>95250</xdr:rowOff>
    </xdr:from>
    <xdr:to>
      <xdr:col>2</xdr:col>
      <xdr:colOff>555644</xdr:colOff>
      <xdr:row>62</xdr:row>
      <xdr:rowOff>16580</xdr:rowOff>
    </xdr:to>
    <xdr:sp macro="" textlink="">
      <xdr:nvSpPr>
        <xdr:cNvPr id="33" name="TextBox 32">
          <a:extLst>
            <a:ext uri="{FF2B5EF4-FFF2-40B4-BE49-F238E27FC236}">
              <a16:creationId xmlns:a16="http://schemas.microsoft.com/office/drawing/2014/main" id="{CB96CC11-126B-4067-9AC7-EA6D4070EDB6}"/>
            </a:ext>
          </a:extLst>
        </xdr:cNvPr>
        <xdr:cNvSpPr txBox="1"/>
      </xdr:nvSpPr>
      <xdr:spPr>
        <a:xfrm>
          <a:off x="2390775" y="5010150"/>
          <a:ext cx="1060469" cy="83573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RAB &amp; RAB Depreciation Allocations</a:t>
          </a:r>
        </a:p>
      </xdr:txBody>
    </xdr:sp>
    <xdr:clientData/>
  </xdr:twoCellAnchor>
  <xdr:twoCellAnchor>
    <xdr:from>
      <xdr:col>5</xdr:col>
      <xdr:colOff>28575</xdr:colOff>
      <xdr:row>54</xdr:row>
      <xdr:rowOff>123825</xdr:rowOff>
    </xdr:from>
    <xdr:to>
      <xdr:col>6</xdr:col>
      <xdr:colOff>160576</xdr:colOff>
      <xdr:row>59</xdr:row>
      <xdr:rowOff>114300</xdr:rowOff>
    </xdr:to>
    <xdr:sp macro="" textlink="">
      <xdr:nvSpPr>
        <xdr:cNvPr id="37" name="TextBox 36">
          <a:extLst>
            <a:ext uri="{FF2B5EF4-FFF2-40B4-BE49-F238E27FC236}">
              <a16:creationId xmlns:a16="http://schemas.microsoft.com/office/drawing/2014/main" id="{D34C9BA9-0128-4691-BC97-C522D175685F}"/>
            </a:ext>
          </a:extLst>
        </xdr:cNvPr>
        <xdr:cNvSpPr txBox="1"/>
      </xdr:nvSpPr>
      <xdr:spPr>
        <a:xfrm>
          <a:off x="6429375" y="4733925"/>
          <a:ext cx="1494076" cy="75247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Target</a:t>
          </a:r>
          <a:r>
            <a:rPr lang="en-US" sz="1100" b="1" baseline="0">
              <a:solidFill>
                <a:schemeClr val="bg1"/>
              </a:solidFill>
            </a:rPr>
            <a:t> Revenue by Pricing Area and Customer Load Group</a:t>
          </a:r>
          <a:endParaRPr lang="en-US" sz="1100" b="1">
            <a:solidFill>
              <a:schemeClr val="bg1"/>
            </a:solidFill>
          </a:endParaRPr>
        </a:p>
      </xdr:txBody>
    </xdr:sp>
    <xdr:clientData/>
  </xdr:twoCellAnchor>
  <xdr:twoCellAnchor>
    <xdr:from>
      <xdr:col>1</xdr:col>
      <xdr:colOff>1181100</xdr:colOff>
      <xdr:row>54</xdr:row>
      <xdr:rowOff>8407</xdr:rowOff>
    </xdr:from>
    <xdr:to>
      <xdr:col>1</xdr:col>
      <xdr:colOff>2219325</xdr:colOff>
      <xdr:row>58</xdr:row>
      <xdr:rowOff>66675</xdr:rowOff>
    </xdr:to>
    <xdr:cxnSp macro="">
      <xdr:nvCxnSpPr>
        <xdr:cNvPr id="40" name="Straight Arrow Connector 39">
          <a:extLst>
            <a:ext uri="{FF2B5EF4-FFF2-40B4-BE49-F238E27FC236}">
              <a16:creationId xmlns:a16="http://schemas.microsoft.com/office/drawing/2014/main" id="{B11C7B52-237C-4360-94B7-26D9609A5A73}"/>
            </a:ext>
          </a:extLst>
        </xdr:cNvPr>
        <xdr:cNvCxnSpPr/>
      </xdr:nvCxnSpPr>
      <xdr:spPr>
        <a:xfrm>
          <a:off x="1362075" y="4618507"/>
          <a:ext cx="1038225" cy="6678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111135</xdr:colOff>
      <xdr:row>50</xdr:row>
      <xdr:rowOff>85725</xdr:rowOff>
    </xdr:from>
    <xdr:to>
      <xdr:col>4</xdr:col>
      <xdr:colOff>127134</xdr:colOff>
      <xdr:row>55</xdr:row>
      <xdr:rowOff>38100</xdr:rowOff>
    </xdr:to>
    <xdr:cxnSp macro="">
      <xdr:nvCxnSpPr>
        <xdr:cNvPr id="47" name="Straight Arrow Connector 46">
          <a:extLst>
            <a:ext uri="{FF2B5EF4-FFF2-40B4-BE49-F238E27FC236}">
              <a16:creationId xmlns:a16="http://schemas.microsoft.com/office/drawing/2014/main" id="{62D654D2-F4C9-4B1E-A2F6-B61B2180718C}"/>
            </a:ext>
          </a:extLst>
        </xdr:cNvPr>
        <xdr:cNvCxnSpPr>
          <a:stCxn id="16" idx="2"/>
          <a:endCxn id="32" idx="0"/>
        </xdr:cNvCxnSpPr>
      </xdr:nvCxnSpPr>
      <xdr:spPr>
        <a:xfrm flipH="1">
          <a:off x="5149860" y="4086225"/>
          <a:ext cx="15999"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1190625</xdr:colOff>
      <xdr:row>53</xdr:row>
      <xdr:rowOff>138382</xdr:rowOff>
    </xdr:from>
    <xdr:to>
      <xdr:col>6</xdr:col>
      <xdr:colOff>371700</xdr:colOff>
      <xdr:row>54</xdr:row>
      <xdr:rowOff>1</xdr:rowOff>
    </xdr:to>
    <xdr:cxnSp macro="">
      <xdr:nvCxnSpPr>
        <xdr:cNvPr id="61" name="Straight Arrow Connector 60">
          <a:extLst>
            <a:ext uri="{FF2B5EF4-FFF2-40B4-BE49-F238E27FC236}">
              <a16:creationId xmlns:a16="http://schemas.microsoft.com/office/drawing/2014/main" id="{16DE199F-885D-4F75-AB0A-9AFB9541458B}"/>
            </a:ext>
          </a:extLst>
        </xdr:cNvPr>
        <xdr:cNvCxnSpPr>
          <a:endCxn id="43" idx="1"/>
        </xdr:cNvCxnSpPr>
      </xdr:nvCxnSpPr>
      <xdr:spPr>
        <a:xfrm flipV="1">
          <a:off x="1371600" y="4596082"/>
          <a:ext cx="6762975" cy="140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1133475</xdr:colOff>
      <xdr:row>46</xdr:row>
      <xdr:rowOff>9525</xdr:rowOff>
    </xdr:from>
    <xdr:to>
      <xdr:col>6</xdr:col>
      <xdr:colOff>371475</xdr:colOff>
      <xdr:row>46</xdr:row>
      <xdr:rowOff>28575</xdr:rowOff>
    </xdr:to>
    <xdr:cxnSp macro="">
      <xdr:nvCxnSpPr>
        <xdr:cNvPr id="84" name="Straight Arrow Connector 83">
          <a:extLst>
            <a:ext uri="{FF2B5EF4-FFF2-40B4-BE49-F238E27FC236}">
              <a16:creationId xmlns:a16="http://schemas.microsoft.com/office/drawing/2014/main" id="{C2FDCC1C-0FFF-45AD-A99A-EB73B52F0F79}"/>
            </a:ext>
          </a:extLst>
        </xdr:cNvPr>
        <xdr:cNvCxnSpPr/>
      </xdr:nvCxnSpPr>
      <xdr:spPr>
        <a:xfrm>
          <a:off x="1314450" y="3400425"/>
          <a:ext cx="6819900"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641369</xdr:colOff>
      <xdr:row>57</xdr:row>
      <xdr:rowOff>65440</xdr:rowOff>
    </xdr:from>
    <xdr:to>
      <xdr:col>5</xdr:col>
      <xdr:colOff>9525</xdr:colOff>
      <xdr:row>57</xdr:row>
      <xdr:rowOff>66675</xdr:rowOff>
    </xdr:to>
    <xdr:cxnSp macro="">
      <xdr:nvCxnSpPr>
        <xdr:cNvPr id="88" name="Straight Arrow Connector 87">
          <a:extLst>
            <a:ext uri="{FF2B5EF4-FFF2-40B4-BE49-F238E27FC236}">
              <a16:creationId xmlns:a16="http://schemas.microsoft.com/office/drawing/2014/main" id="{8AE71DB7-8DC1-43D8-891F-D88F402F9F45}"/>
            </a:ext>
          </a:extLst>
        </xdr:cNvPr>
        <xdr:cNvCxnSpPr>
          <a:stCxn id="32" idx="3"/>
        </xdr:cNvCxnSpPr>
      </xdr:nvCxnSpPr>
      <xdr:spPr>
        <a:xfrm>
          <a:off x="5680094" y="5132740"/>
          <a:ext cx="730231" cy="12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47</xdr:row>
      <xdr:rowOff>27881</xdr:rowOff>
    </xdr:from>
    <xdr:to>
      <xdr:col>6</xdr:col>
      <xdr:colOff>381000</xdr:colOff>
      <xdr:row>47</xdr:row>
      <xdr:rowOff>38100</xdr:rowOff>
    </xdr:to>
    <xdr:cxnSp macro="">
      <xdr:nvCxnSpPr>
        <xdr:cNvPr id="101" name="Straight Arrow Connector 100">
          <a:extLst>
            <a:ext uri="{FF2B5EF4-FFF2-40B4-BE49-F238E27FC236}">
              <a16:creationId xmlns:a16="http://schemas.microsoft.com/office/drawing/2014/main" id="{8DFA64B2-1A99-468B-9624-314C353A36D3}"/>
            </a:ext>
          </a:extLst>
        </xdr:cNvPr>
        <xdr:cNvCxnSpPr/>
      </xdr:nvCxnSpPr>
      <xdr:spPr>
        <a:xfrm>
          <a:off x="5695950" y="3571181"/>
          <a:ext cx="2447925" cy="102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60</xdr:row>
      <xdr:rowOff>133350</xdr:rowOff>
    </xdr:from>
    <xdr:to>
      <xdr:col>6</xdr:col>
      <xdr:colOff>381000</xdr:colOff>
      <xdr:row>61</xdr:row>
      <xdr:rowOff>33415</xdr:rowOff>
    </xdr:to>
    <xdr:cxnSp macro="">
      <xdr:nvCxnSpPr>
        <xdr:cNvPr id="108" name="Straight Arrow Connector 107">
          <a:extLst>
            <a:ext uri="{FF2B5EF4-FFF2-40B4-BE49-F238E27FC236}">
              <a16:creationId xmlns:a16="http://schemas.microsoft.com/office/drawing/2014/main" id="{AF5CEA28-8917-4844-B5DD-4E2E0071F741}"/>
            </a:ext>
          </a:extLst>
        </xdr:cNvPr>
        <xdr:cNvCxnSpPr/>
      </xdr:nvCxnSpPr>
      <xdr:spPr>
        <a:xfrm flipV="1">
          <a:off x="3438525" y="5657850"/>
          <a:ext cx="4705350" cy="524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285750</xdr:colOff>
      <xdr:row>17</xdr:row>
      <xdr:rowOff>123825</xdr:rowOff>
    </xdr:from>
    <xdr:to>
      <xdr:col>7</xdr:col>
      <xdr:colOff>750623</xdr:colOff>
      <xdr:row>39</xdr:row>
      <xdr:rowOff>83013</xdr:rowOff>
    </xdr:to>
    <xdr:pic>
      <xdr:nvPicPr>
        <xdr:cNvPr id="118" name="Picture 117">
          <a:extLst>
            <a:ext uri="{FF2B5EF4-FFF2-40B4-BE49-F238E27FC236}">
              <a16:creationId xmlns:a16="http://schemas.microsoft.com/office/drawing/2014/main" id="{BE6145D6-9104-4C68-A115-D7627FEA67D1}"/>
            </a:ext>
          </a:extLst>
        </xdr:cNvPr>
        <xdr:cNvPicPr>
          <a:picLocks noChangeAspect="1"/>
        </xdr:cNvPicPr>
      </xdr:nvPicPr>
      <xdr:blipFill>
        <a:blip xmlns:r="http://schemas.openxmlformats.org/officeDocument/2006/relationships" r:embed="rId1"/>
        <a:stretch>
          <a:fillRect/>
        </a:stretch>
      </xdr:blipFill>
      <xdr:spPr>
        <a:xfrm>
          <a:off x="466725" y="3209925"/>
          <a:ext cx="9478698" cy="331516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ra Carter" id="{4CEDE1BD-BFD1-4C78-A31E-293B40572D35}" userId="7f7c7d4f4e4f0d79" providerId="Windows Live"/>
</personList>
</file>

<file path=xl/theme/theme1.xml><?xml version="1.0" encoding="utf-8"?>
<a:theme xmlns:a="http://schemas.openxmlformats.org/drawingml/2006/main" name="SmartTheme">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DB536A"/>
      </a:accent4>
      <a:accent5>
        <a:srgbClr val="A32020"/>
      </a:accent5>
      <a:accent6>
        <a:srgbClr val="E0301E"/>
      </a:accent6>
      <a:hlink>
        <a:srgbClr val="DC6900"/>
      </a:hlink>
      <a:folHlink>
        <a:srgbClr val="DC6900"/>
      </a:folHlink>
    </a:clrScheme>
    <a:fontScheme name="Smar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6" dT="2020-12-13T23:33:47.11" personId="{4CEDE1BD-BFD1-4C78-A31E-293B40572D35}" id="{D54DEDE9-D410-4610-8183-C25E7FFCEB13}">
    <text>Was kWh in the RY2021 CoSM</text>
  </threadedComment>
  <threadedComment ref="B44" dT="2020-12-13T23:33:47.11" personId="{4CEDE1BD-BFD1-4C78-A31E-293B40572D35}" id="{EC643E16-FF41-4E57-9382-7010B0D98EDF}">
    <text>Was kWh in the RY2021 CoSM</text>
  </threadedComment>
  <threadedComment ref="B52" dT="2020-12-13T23:33:47.11" personId="{4CEDE1BD-BFD1-4C78-A31E-293B40572D35}" id="{EC643E16-FF41-4E58-9382-7010B0D98EDF}">
    <text>Was kWh in the RY2021 CoSM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3"/>
    <pageSetUpPr fitToPage="1"/>
  </sheetPr>
  <dimension ref="A2:AV253"/>
  <sheetViews>
    <sheetView showGridLines="0" tabSelected="1" workbookViewId="0">
      <selection activeCell="D5" sqref="D5"/>
    </sheetView>
  </sheetViews>
  <sheetFormatPr defaultColWidth="0" defaultRowHeight="12" customHeight="1"/>
  <cols>
    <col min="1" max="1" width="2.7109375" style="70" customWidth="1"/>
    <col min="2" max="2" width="40.7109375" style="70" customWidth="1"/>
    <col min="3" max="3" width="11.7109375" style="100" customWidth="1"/>
    <col min="4" max="6" width="20.42578125" style="70" customWidth="1"/>
    <col min="7" max="8" width="21.42578125" style="70" customWidth="1"/>
    <col min="9" max="9" width="2.7109375" style="70" customWidth="1"/>
    <col min="10" max="10" width="9.140625" style="70" hidden="1" customWidth="1"/>
    <col min="11" max="48" width="0" style="70" hidden="1" customWidth="1"/>
    <col min="49" max="16384" width="9.140625" style="70" hidden="1"/>
  </cols>
  <sheetData>
    <row r="2" spans="2:8" ht="15" customHeight="1">
      <c r="B2" s="71" t="str">
        <f ca="1">MID(CELL("filename",A1),FIND("]",CELL("filename",A1))+1,255)</f>
        <v>Model Guide</v>
      </c>
      <c r="C2" s="94"/>
    </row>
    <row r="3" spans="2:8" ht="12" customHeight="1">
      <c r="B3" s="95"/>
      <c r="C3" s="96"/>
      <c r="D3" s="73"/>
      <c r="E3" s="73"/>
      <c r="F3" s="73"/>
      <c r="G3" s="73"/>
      <c r="H3" s="73"/>
    </row>
    <row r="4" spans="2:8" ht="12" customHeight="1">
      <c r="C4" s="70"/>
    </row>
    <row r="5" spans="2:8" ht="12" customHeight="1">
      <c r="B5" s="97" t="s">
        <v>0</v>
      </c>
      <c r="C5" s="77"/>
      <c r="D5" s="98"/>
      <c r="E5" s="98"/>
      <c r="F5" s="98"/>
      <c r="G5" s="99"/>
      <c r="H5" s="98"/>
    </row>
    <row r="6" spans="2:8" ht="12" customHeight="1">
      <c r="H6" s="101"/>
    </row>
    <row r="7" spans="2:8" ht="12" customHeight="1">
      <c r="B7" s="70" t="s">
        <v>1</v>
      </c>
      <c r="C7" s="102">
        <v>1000</v>
      </c>
      <c r="H7" s="101"/>
    </row>
    <row r="8" spans="2:8" ht="12" customHeight="1">
      <c r="B8" s="70" t="s">
        <v>2</v>
      </c>
      <c r="C8" s="103" t="s">
        <v>3</v>
      </c>
      <c r="H8" s="101"/>
    </row>
    <row r="9" spans="2:8" ht="12" customHeight="1">
      <c r="B9" s="70" t="s">
        <v>4</v>
      </c>
      <c r="C9" s="104">
        <v>1000</v>
      </c>
    </row>
    <row r="10" spans="2:8" ht="12" customHeight="1">
      <c r="B10" s="70" t="s">
        <v>5</v>
      </c>
      <c r="C10" s="105" t="s">
        <v>6</v>
      </c>
    </row>
    <row r="11" spans="2:8" ht="12" customHeight="1">
      <c r="B11" s="70" t="s">
        <v>7</v>
      </c>
      <c r="C11" s="106">
        <v>1000</v>
      </c>
    </row>
    <row r="12" spans="2:8" ht="12" customHeight="1">
      <c r="B12" s="70" t="s">
        <v>8</v>
      </c>
      <c r="C12" s="83">
        <v>0</v>
      </c>
    </row>
    <row r="13" spans="2:8" ht="12" customHeight="1">
      <c r="B13" s="70" t="s">
        <v>9</v>
      </c>
      <c r="C13" s="83">
        <f>SUM(C11)</f>
        <v>1000</v>
      </c>
    </row>
    <row r="14" spans="2:8" ht="12" customHeight="1">
      <c r="C14" s="107"/>
    </row>
    <row r="15" spans="2:8" ht="12" customHeight="1">
      <c r="B15" s="95" t="s">
        <v>10</v>
      </c>
      <c r="C15" s="96"/>
      <c r="D15" s="73"/>
      <c r="E15" s="73"/>
      <c r="F15" s="73"/>
      <c r="G15" s="73"/>
      <c r="H15" s="73"/>
    </row>
    <row r="16" spans="2:8" ht="12" customHeight="1">
      <c r="C16" s="70"/>
    </row>
    <row r="17" spans="2:8" ht="29.25" customHeight="1">
      <c r="B17" s="230" t="s">
        <v>11</v>
      </c>
      <c r="C17" s="230"/>
      <c r="D17" s="230"/>
      <c r="E17" s="230"/>
      <c r="F17" s="230"/>
      <c r="G17" s="230"/>
      <c r="H17" s="230"/>
    </row>
    <row r="18" spans="2:8" ht="12" customHeight="1">
      <c r="H18" s="101"/>
    </row>
    <row r="19" spans="2:8" ht="12" customHeight="1">
      <c r="H19" s="101"/>
    </row>
    <row r="20" spans="2:8" ht="12" customHeight="1">
      <c r="H20" s="101"/>
    </row>
    <row r="21" spans="2:8" ht="12" customHeight="1">
      <c r="H21" s="101"/>
    </row>
    <row r="22" spans="2:8" ht="12" customHeight="1">
      <c r="H22" s="101"/>
    </row>
    <row r="23" spans="2:8" ht="12" customHeight="1">
      <c r="H23" s="101"/>
    </row>
    <row r="24" spans="2:8" ht="12" customHeight="1">
      <c r="H24" s="101"/>
    </row>
    <row r="25" spans="2:8" ht="12" customHeight="1">
      <c r="H25" s="101"/>
    </row>
    <row r="26" spans="2:8" ht="12" customHeight="1">
      <c r="H26" s="101"/>
    </row>
    <row r="27" spans="2:8" ht="12" customHeight="1">
      <c r="H27" s="101"/>
    </row>
    <row r="28" spans="2:8" ht="12" customHeight="1">
      <c r="H28" s="101"/>
    </row>
    <row r="29" spans="2:8" ht="12" customHeight="1">
      <c r="H29" s="101"/>
    </row>
    <row r="30" spans="2:8" ht="12" customHeight="1">
      <c r="H30" s="101"/>
    </row>
    <row r="31" spans="2:8" ht="12" customHeight="1">
      <c r="H31" s="101"/>
    </row>
    <row r="32" spans="2:8" ht="12" customHeight="1">
      <c r="H32" s="101"/>
    </row>
    <row r="33" spans="2:8" ht="12" customHeight="1">
      <c r="H33" s="101"/>
    </row>
    <row r="34" spans="2:8" ht="12" customHeight="1">
      <c r="H34" s="101"/>
    </row>
    <row r="35" spans="2:8" ht="12" customHeight="1">
      <c r="H35" s="101"/>
    </row>
    <row r="36" spans="2:8" ht="12" customHeight="1">
      <c r="H36" s="101"/>
    </row>
    <row r="37" spans="2:8" ht="12" customHeight="1">
      <c r="H37" s="101"/>
    </row>
    <row r="38" spans="2:8" ht="12" customHeight="1">
      <c r="H38" s="101"/>
    </row>
    <row r="39" spans="2:8" ht="12" customHeight="1">
      <c r="H39" s="101"/>
    </row>
    <row r="40" spans="2:8" ht="12" customHeight="1">
      <c r="H40" s="101"/>
    </row>
    <row r="41" spans="2:8" ht="12" customHeight="1">
      <c r="H41" s="101"/>
    </row>
    <row r="42" spans="2:8" ht="12" customHeight="1">
      <c r="H42" s="101"/>
    </row>
    <row r="43" spans="2:8" ht="12" customHeight="1">
      <c r="B43" s="97" t="s">
        <v>12</v>
      </c>
      <c r="C43" s="77"/>
      <c r="D43" s="98"/>
      <c r="E43" s="98"/>
      <c r="F43" s="98"/>
      <c r="G43" s="99"/>
      <c r="H43" s="98"/>
    </row>
    <row r="44" spans="2:8" ht="12" customHeight="1">
      <c r="C44" s="107"/>
    </row>
    <row r="45" spans="2:8" ht="12" customHeight="1">
      <c r="B45" s="88"/>
      <c r="C45" s="107"/>
    </row>
    <row r="46" spans="2:8" ht="12" customHeight="1">
      <c r="C46" s="107"/>
    </row>
    <row r="47" spans="2:8" ht="12" customHeight="1">
      <c r="C47" s="107"/>
    </row>
    <row r="48" spans="2:8" ht="12" customHeight="1">
      <c r="C48" s="107"/>
    </row>
    <row r="49" spans="2:8" ht="12" customHeight="1">
      <c r="C49" s="107"/>
    </row>
    <row r="50" spans="2:8" ht="12" customHeight="1">
      <c r="C50" s="107"/>
    </row>
    <row r="51" spans="2:8" ht="12" customHeight="1">
      <c r="C51" s="107"/>
    </row>
    <row r="52" spans="2:8" ht="12" customHeight="1">
      <c r="C52" s="107"/>
    </row>
    <row r="53" spans="2:8" ht="12" customHeight="1">
      <c r="C53" s="107"/>
    </row>
    <row r="54" spans="2:8" ht="12" customHeight="1">
      <c r="C54" s="107"/>
    </row>
    <row r="55" spans="2:8" ht="12" customHeight="1">
      <c r="C55" s="107"/>
    </row>
    <row r="56" spans="2:8" ht="12" customHeight="1">
      <c r="C56" s="107"/>
    </row>
    <row r="57" spans="2:8" ht="12" customHeight="1">
      <c r="C57" s="107"/>
    </row>
    <row r="58" spans="2:8" ht="12" customHeight="1">
      <c r="C58" s="107"/>
    </row>
    <row r="59" spans="2:8" ht="12" customHeight="1">
      <c r="C59" s="107"/>
    </row>
    <row r="60" spans="2:8" ht="12" customHeight="1">
      <c r="C60" s="107"/>
    </row>
    <row r="61" spans="2:8" ht="12" customHeight="1">
      <c r="C61" s="107"/>
    </row>
    <row r="62" spans="2:8" ht="12" customHeight="1">
      <c r="C62" s="107"/>
    </row>
    <row r="63" spans="2:8" ht="12" customHeight="1">
      <c r="C63" s="107"/>
    </row>
    <row r="64" spans="2:8" ht="12" customHeight="1">
      <c r="B64" s="97" t="s">
        <v>13</v>
      </c>
      <c r="C64" s="77"/>
      <c r="D64" s="98"/>
      <c r="E64" s="98"/>
      <c r="F64" s="98"/>
      <c r="G64" s="99"/>
      <c r="H64" s="98"/>
    </row>
    <row r="65" spans="2:8" ht="12" customHeight="1">
      <c r="C65" s="107"/>
    </row>
    <row r="66" spans="2:8" ht="33" customHeight="1">
      <c r="B66" s="230" t="s">
        <v>14</v>
      </c>
      <c r="C66" s="230"/>
      <c r="D66" s="230"/>
      <c r="E66" s="230"/>
      <c r="F66" s="230"/>
      <c r="G66" s="230"/>
      <c r="H66" s="230"/>
    </row>
    <row r="67" spans="2:8" ht="12" customHeight="1">
      <c r="B67" s="108"/>
      <c r="C67" s="108"/>
      <c r="D67" s="108"/>
      <c r="E67" s="108"/>
      <c r="F67" s="109"/>
    </row>
    <row r="68" spans="2:8" ht="12" customHeight="1">
      <c r="B68" s="110" t="s">
        <v>15</v>
      </c>
      <c r="C68" s="109"/>
      <c r="D68" s="109"/>
      <c r="E68" s="109"/>
      <c r="F68" s="109"/>
    </row>
    <row r="69" spans="2:8" ht="12" customHeight="1">
      <c r="B69" s="111"/>
      <c r="C69" s="109"/>
      <c r="D69" s="109"/>
      <c r="E69" s="109"/>
      <c r="F69" s="109"/>
    </row>
    <row r="70" spans="2:8" ht="24" customHeight="1">
      <c r="B70" s="231" t="s">
        <v>16</v>
      </c>
      <c r="C70" s="231"/>
      <c r="D70" s="231"/>
      <c r="E70" s="231"/>
      <c r="F70" s="231"/>
      <c r="G70" s="231"/>
      <c r="H70" s="231"/>
    </row>
    <row r="71" spans="2:8" ht="11.25">
      <c r="B71" s="231" t="s">
        <v>17</v>
      </c>
      <c r="C71" s="231"/>
      <c r="D71" s="231"/>
      <c r="E71" s="231"/>
      <c r="F71" s="231"/>
      <c r="G71" s="231"/>
      <c r="H71" s="231"/>
    </row>
    <row r="72" spans="2:8" ht="11.25">
      <c r="B72" s="231" t="s">
        <v>18</v>
      </c>
      <c r="C72" s="231"/>
      <c r="D72" s="231"/>
      <c r="E72" s="231"/>
      <c r="F72" s="231"/>
      <c r="G72" s="231"/>
      <c r="H72" s="231"/>
    </row>
    <row r="73" spans="2:8" ht="12" customHeight="1">
      <c r="C73" s="107"/>
    </row>
    <row r="74" spans="2:8" ht="12" customHeight="1">
      <c r="B74" s="97" t="s">
        <v>19</v>
      </c>
      <c r="C74" s="77"/>
      <c r="D74" s="98"/>
      <c r="E74" s="98"/>
      <c r="F74" s="98"/>
      <c r="G74" s="99"/>
      <c r="H74" s="98"/>
    </row>
    <row r="75" spans="2:8" ht="12" customHeight="1">
      <c r="C75" s="107"/>
    </row>
    <row r="76" spans="2:8" ht="12" customHeight="1">
      <c r="B76" s="110" t="s">
        <v>20</v>
      </c>
      <c r="C76" s="107"/>
    </row>
    <row r="77" spans="2:8" ht="12" customHeight="1">
      <c r="C77" s="107"/>
    </row>
    <row r="78" spans="2:8" ht="81" customHeight="1">
      <c r="B78" s="229" t="s">
        <v>21</v>
      </c>
      <c r="C78" s="229"/>
      <c r="D78" s="229"/>
      <c r="E78" s="229"/>
      <c r="F78" s="229"/>
      <c r="G78" s="229"/>
      <c r="H78" s="229"/>
    </row>
    <row r="79" spans="2:8" ht="12" customHeight="1">
      <c r="C79" s="112"/>
    </row>
    <row r="80" spans="2:8" ht="12" customHeight="1">
      <c r="B80" s="110" t="s">
        <v>22</v>
      </c>
    </row>
    <row r="81" spans="2:8" ht="12" customHeight="1">
      <c r="B81" s="108"/>
    </row>
    <row r="82" spans="2:8" ht="12" customHeight="1">
      <c r="B82" s="109" t="s">
        <v>23</v>
      </c>
      <c r="C82" s="107"/>
    </row>
    <row r="83" spans="2:8" ht="12" customHeight="1">
      <c r="C83" s="107"/>
    </row>
    <row r="84" spans="2:8" ht="12" customHeight="1">
      <c r="B84" s="113" t="s">
        <v>24</v>
      </c>
      <c r="C84" s="107"/>
    </row>
    <row r="85" spans="2:8" ht="12" customHeight="1">
      <c r="B85" s="108"/>
      <c r="C85" s="107"/>
    </row>
    <row r="86" spans="2:8" ht="48.75" customHeight="1">
      <c r="B86" s="229" t="s">
        <v>25</v>
      </c>
      <c r="C86" s="229"/>
      <c r="D86" s="229"/>
      <c r="E86" s="229"/>
      <c r="F86" s="229"/>
      <c r="G86" s="229"/>
      <c r="H86" s="229"/>
    </row>
    <row r="87" spans="2:8" ht="12" customHeight="1">
      <c r="C87" s="107"/>
    </row>
    <row r="88" spans="2:8" ht="12" customHeight="1">
      <c r="C88" s="107"/>
    </row>
    <row r="89" spans="2:8" ht="12" customHeight="1">
      <c r="C89" s="107"/>
    </row>
    <row r="90" spans="2:8" ht="12" customHeight="1">
      <c r="C90" s="107"/>
    </row>
    <row r="91" spans="2:8" ht="12" customHeight="1">
      <c r="C91" s="107"/>
    </row>
    <row r="92" spans="2:8" ht="12" customHeight="1">
      <c r="C92" s="107"/>
    </row>
    <row r="93" spans="2:8" ht="12" customHeight="1">
      <c r="C93" s="107"/>
    </row>
    <row r="94" spans="2:8" ht="12" customHeight="1">
      <c r="C94" s="107"/>
    </row>
    <row r="95" spans="2:8" ht="12" customHeight="1">
      <c r="B95" s="114"/>
      <c r="C95" s="107"/>
    </row>
    <row r="96" spans="2:8" ht="12" customHeight="1">
      <c r="B96" s="114"/>
    </row>
    <row r="99" spans="3:3" ht="12" customHeight="1">
      <c r="C99" s="107"/>
    </row>
    <row r="100" spans="3:3" ht="12" customHeight="1">
      <c r="C100" s="107"/>
    </row>
    <row r="101" spans="3:3" ht="12" customHeight="1">
      <c r="C101" s="107"/>
    </row>
    <row r="102" spans="3:3" ht="12" customHeight="1">
      <c r="C102" s="107"/>
    </row>
    <row r="103" spans="3:3" ht="12" customHeight="1">
      <c r="C103" s="107"/>
    </row>
    <row r="104" spans="3:3" ht="12" customHeight="1">
      <c r="C104" s="107"/>
    </row>
    <row r="105" spans="3:3" ht="12" customHeight="1">
      <c r="C105" s="107"/>
    </row>
    <row r="106" spans="3:3" ht="12" customHeight="1">
      <c r="C106" s="107"/>
    </row>
    <row r="107" spans="3:3" ht="12" customHeight="1">
      <c r="C107" s="107"/>
    </row>
    <row r="108" spans="3:3" ht="12" customHeight="1">
      <c r="C108" s="107"/>
    </row>
    <row r="109" spans="3:3" ht="12" customHeight="1">
      <c r="C109" s="107"/>
    </row>
    <row r="110" spans="3:3" ht="12" customHeight="1">
      <c r="C110" s="107"/>
    </row>
    <row r="111" spans="3:3" ht="12" customHeight="1">
      <c r="C111" s="107"/>
    </row>
    <row r="112" spans="3:3" ht="12" customHeight="1">
      <c r="C112" s="107"/>
    </row>
    <row r="113" spans="3:3" ht="12" customHeight="1">
      <c r="C113" s="107"/>
    </row>
    <row r="114" spans="3:3" ht="12" customHeight="1">
      <c r="C114" s="107"/>
    </row>
    <row r="115" spans="3:3" ht="12" customHeight="1">
      <c r="C115" s="107"/>
    </row>
    <row r="116" spans="3:3" ht="12" customHeight="1">
      <c r="C116" s="107"/>
    </row>
    <row r="117" spans="3:3" ht="12" customHeight="1">
      <c r="C117" s="107"/>
    </row>
    <row r="118" spans="3:3" ht="12" customHeight="1">
      <c r="C118" s="107"/>
    </row>
    <row r="119" spans="3:3" ht="12" customHeight="1">
      <c r="C119" s="107"/>
    </row>
    <row r="120" spans="3:3" ht="12" customHeight="1">
      <c r="C120" s="107"/>
    </row>
    <row r="121" spans="3:3" ht="12" customHeight="1">
      <c r="C121" s="107"/>
    </row>
    <row r="125" spans="3:3" ht="12" customHeight="1">
      <c r="C125" s="107"/>
    </row>
    <row r="126" spans="3:3" ht="12" customHeight="1">
      <c r="C126" s="107"/>
    </row>
    <row r="127" spans="3:3" ht="12" customHeight="1">
      <c r="C127" s="107"/>
    </row>
    <row r="128" spans="3:3" ht="12" customHeight="1">
      <c r="C128" s="107"/>
    </row>
    <row r="129" spans="3:3" ht="12" customHeight="1">
      <c r="C129" s="107"/>
    </row>
    <row r="130" spans="3:3" ht="12" customHeight="1">
      <c r="C130" s="107"/>
    </row>
    <row r="131" spans="3:3" ht="12" customHeight="1">
      <c r="C131" s="107"/>
    </row>
    <row r="132" spans="3:3" ht="12" customHeight="1">
      <c r="C132" s="107"/>
    </row>
    <row r="133" spans="3:3" ht="12" customHeight="1">
      <c r="C133" s="107"/>
    </row>
    <row r="134" spans="3:3" ht="12" customHeight="1">
      <c r="C134" s="107"/>
    </row>
    <row r="135" spans="3:3" ht="12" customHeight="1">
      <c r="C135" s="107"/>
    </row>
    <row r="136" spans="3:3" ht="12" customHeight="1">
      <c r="C136" s="107"/>
    </row>
    <row r="137" spans="3:3" ht="12" customHeight="1">
      <c r="C137" s="107"/>
    </row>
    <row r="138" spans="3:3" ht="12" customHeight="1">
      <c r="C138" s="107"/>
    </row>
    <row r="139" spans="3:3" ht="12" customHeight="1">
      <c r="C139" s="107"/>
    </row>
    <row r="140" spans="3:3" ht="12" customHeight="1">
      <c r="C140" s="107"/>
    </row>
    <row r="141" spans="3:3" ht="12" customHeight="1">
      <c r="C141" s="107"/>
    </row>
    <row r="142" spans="3:3" ht="12" customHeight="1">
      <c r="C142" s="107"/>
    </row>
    <row r="143" spans="3:3" ht="12" customHeight="1">
      <c r="C143" s="107"/>
    </row>
    <row r="144" spans="3:3" ht="12" customHeight="1">
      <c r="C144" s="107"/>
    </row>
    <row r="145" spans="3:3" ht="12" customHeight="1">
      <c r="C145" s="107"/>
    </row>
    <row r="146" spans="3:3" ht="12" customHeight="1">
      <c r="C146" s="107"/>
    </row>
    <row r="147" spans="3:3" ht="12" customHeight="1">
      <c r="C147" s="107"/>
    </row>
    <row r="148" spans="3:3" ht="12" customHeight="1">
      <c r="C148" s="107"/>
    </row>
    <row r="149" spans="3:3" ht="12" customHeight="1">
      <c r="C149" s="107"/>
    </row>
    <row r="150" spans="3:3" ht="12" customHeight="1">
      <c r="C150" s="107"/>
    </row>
    <row r="151" spans="3:3" ht="12" customHeight="1">
      <c r="C151" s="107"/>
    </row>
    <row r="152" spans="3:3" ht="12" customHeight="1">
      <c r="C152" s="107"/>
    </row>
    <row r="153" spans="3:3" ht="12" customHeight="1">
      <c r="C153" s="107"/>
    </row>
    <row r="154" spans="3:3" ht="12" customHeight="1">
      <c r="C154" s="107"/>
    </row>
    <row r="155" spans="3:3" ht="12" customHeight="1">
      <c r="C155" s="107"/>
    </row>
    <row r="156" spans="3:3" ht="12" customHeight="1">
      <c r="C156" s="107"/>
    </row>
    <row r="157" spans="3:3" ht="12" customHeight="1">
      <c r="C157" s="107"/>
    </row>
    <row r="158" spans="3:3" ht="12" customHeight="1">
      <c r="C158" s="107"/>
    </row>
    <row r="159" spans="3:3" ht="12" customHeight="1">
      <c r="C159" s="107"/>
    </row>
    <row r="160" spans="3:3" ht="12" customHeight="1">
      <c r="C160" s="107"/>
    </row>
    <row r="161" spans="3:3" ht="12" customHeight="1">
      <c r="C161" s="107"/>
    </row>
    <row r="162" spans="3:3" ht="12" customHeight="1">
      <c r="C162" s="107"/>
    </row>
    <row r="163" spans="3:3" ht="12" customHeight="1">
      <c r="C163" s="107"/>
    </row>
    <row r="164" spans="3:3" ht="12" customHeight="1">
      <c r="C164" s="107"/>
    </row>
    <row r="165" spans="3:3" ht="12" customHeight="1">
      <c r="C165" s="107"/>
    </row>
    <row r="166" spans="3:3" ht="12" customHeight="1">
      <c r="C166" s="107"/>
    </row>
    <row r="167" spans="3:3" ht="12" customHeight="1">
      <c r="C167" s="107"/>
    </row>
    <row r="168" spans="3:3" ht="12" customHeight="1">
      <c r="C168" s="107"/>
    </row>
    <row r="169" spans="3:3" ht="12" customHeight="1">
      <c r="C169" s="107"/>
    </row>
    <row r="170" spans="3:3" ht="12" customHeight="1">
      <c r="C170" s="107"/>
    </row>
    <row r="171" spans="3:3" ht="12" customHeight="1">
      <c r="C171" s="107"/>
    </row>
    <row r="172" spans="3:3" ht="12" customHeight="1">
      <c r="C172" s="107"/>
    </row>
    <row r="173" spans="3:3" ht="12" customHeight="1">
      <c r="C173" s="107"/>
    </row>
    <row r="174" spans="3:3" ht="12" customHeight="1">
      <c r="C174" s="107"/>
    </row>
    <row r="175" spans="3:3" ht="12" customHeight="1">
      <c r="C175" s="107"/>
    </row>
    <row r="176" spans="3:3" ht="12" customHeight="1">
      <c r="C176" s="112"/>
    </row>
    <row r="179" spans="3:3" ht="12" customHeight="1">
      <c r="C179" s="107"/>
    </row>
    <row r="180" spans="3:3" ht="12" customHeight="1">
      <c r="C180" s="107"/>
    </row>
    <row r="181" spans="3:3" ht="12" customHeight="1">
      <c r="C181" s="107"/>
    </row>
    <row r="182" spans="3:3" ht="12" customHeight="1">
      <c r="C182" s="107"/>
    </row>
    <row r="183" spans="3:3" ht="12" customHeight="1">
      <c r="C183" s="107"/>
    </row>
    <row r="184" spans="3:3" ht="12" customHeight="1">
      <c r="C184" s="107"/>
    </row>
    <row r="185" spans="3:3" ht="12" customHeight="1">
      <c r="C185" s="107"/>
    </row>
    <row r="186" spans="3:3" ht="12" customHeight="1">
      <c r="C186" s="107"/>
    </row>
    <row r="187" spans="3:3" ht="12" customHeight="1">
      <c r="C187" s="107"/>
    </row>
    <row r="188" spans="3:3" ht="12" customHeight="1">
      <c r="C188" s="107"/>
    </row>
    <row r="189" spans="3:3" ht="12" customHeight="1">
      <c r="C189" s="107"/>
    </row>
    <row r="190" spans="3:3" ht="12" customHeight="1">
      <c r="C190" s="107"/>
    </row>
    <row r="191" spans="3:3" ht="12" customHeight="1">
      <c r="C191" s="107"/>
    </row>
    <row r="192" spans="3:3" ht="12" customHeight="1">
      <c r="C192" s="107"/>
    </row>
    <row r="193" spans="3:3" ht="12" customHeight="1">
      <c r="C193" s="107"/>
    </row>
    <row r="194" spans="3:3" ht="12" customHeight="1">
      <c r="C194" s="107"/>
    </row>
    <row r="195" spans="3:3" ht="12" customHeight="1">
      <c r="C195" s="107"/>
    </row>
    <row r="196" spans="3:3" ht="12" customHeight="1">
      <c r="C196" s="107"/>
    </row>
    <row r="197" spans="3:3" ht="12" customHeight="1">
      <c r="C197" s="107"/>
    </row>
    <row r="198" spans="3:3" ht="12" customHeight="1">
      <c r="C198" s="107"/>
    </row>
    <row r="199" spans="3:3" ht="12" customHeight="1">
      <c r="C199" s="107"/>
    </row>
    <row r="200" spans="3:3" ht="12" customHeight="1">
      <c r="C200" s="107"/>
    </row>
    <row r="201" spans="3:3" ht="12" customHeight="1">
      <c r="C201" s="107"/>
    </row>
    <row r="205" spans="3:3" ht="12" customHeight="1">
      <c r="C205" s="107"/>
    </row>
    <row r="206" spans="3:3" ht="12" customHeight="1">
      <c r="C206" s="107"/>
    </row>
    <row r="207" spans="3:3" ht="12" customHeight="1">
      <c r="C207" s="107"/>
    </row>
    <row r="208" spans="3:3" ht="12" customHeight="1">
      <c r="C208" s="107"/>
    </row>
    <row r="209" spans="3:3" ht="12" customHeight="1">
      <c r="C209" s="107"/>
    </row>
    <row r="210" spans="3:3" ht="12" customHeight="1">
      <c r="C210" s="107"/>
    </row>
    <row r="211" spans="3:3" ht="12" customHeight="1">
      <c r="C211" s="107"/>
    </row>
    <row r="212" spans="3:3" ht="12" customHeight="1">
      <c r="C212" s="107"/>
    </row>
    <row r="213" spans="3:3" ht="12" customHeight="1">
      <c r="C213" s="107"/>
    </row>
    <row r="214" spans="3:3" ht="12" customHeight="1">
      <c r="C214" s="107"/>
    </row>
    <row r="215" spans="3:3" ht="12" customHeight="1">
      <c r="C215" s="107"/>
    </row>
    <row r="216" spans="3:3" ht="12" customHeight="1">
      <c r="C216" s="107"/>
    </row>
    <row r="217" spans="3:3" ht="12" customHeight="1">
      <c r="C217" s="107"/>
    </row>
    <row r="218" spans="3:3" ht="12" customHeight="1">
      <c r="C218" s="107"/>
    </row>
    <row r="219" spans="3:3" ht="12" customHeight="1">
      <c r="C219" s="107"/>
    </row>
    <row r="220" spans="3:3" ht="12" customHeight="1">
      <c r="C220" s="107"/>
    </row>
    <row r="221" spans="3:3" ht="12" customHeight="1">
      <c r="C221" s="107"/>
    </row>
    <row r="222" spans="3:3" ht="12" customHeight="1">
      <c r="C222" s="107"/>
    </row>
    <row r="223" spans="3:3" ht="12" customHeight="1">
      <c r="C223" s="107"/>
    </row>
    <row r="224" spans="3:3" ht="12" customHeight="1">
      <c r="C224" s="107"/>
    </row>
    <row r="225" spans="3:3" ht="12" customHeight="1">
      <c r="C225" s="107"/>
    </row>
    <row r="226" spans="3:3" ht="12" customHeight="1">
      <c r="C226" s="107"/>
    </row>
    <row r="227" spans="3:3" ht="12" customHeight="1">
      <c r="C227" s="107"/>
    </row>
    <row r="231" spans="3:3" ht="12" customHeight="1">
      <c r="C231" s="107"/>
    </row>
    <row r="232" spans="3:3" ht="12" customHeight="1">
      <c r="C232" s="107"/>
    </row>
    <row r="233" spans="3:3" ht="12" customHeight="1">
      <c r="C233" s="107"/>
    </row>
    <row r="234" spans="3:3" ht="12" customHeight="1">
      <c r="C234" s="107"/>
    </row>
    <row r="235" spans="3:3" ht="12" customHeight="1">
      <c r="C235" s="107"/>
    </row>
    <row r="236" spans="3:3" ht="12" customHeight="1">
      <c r="C236" s="107"/>
    </row>
    <row r="237" spans="3:3" ht="12" customHeight="1">
      <c r="C237" s="107"/>
    </row>
    <row r="238" spans="3:3" ht="12" customHeight="1">
      <c r="C238" s="107"/>
    </row>
    <row r="239" spans="3:3" ht="12" customHeight="1">
      <c r="C239" s="107"/>
    </row>
    <row r="240" spans="3:3" ht="12" customHeight="1">
      <c r="C240" s="107"/>
    </row>
    <row r="241" spans="3:3" ht="12" customHeight="1">
      <c r="C241" s="107"/>
    </row>
    <row r="242" spans="3:3" ht="12" customHeight="1">
      <c r="C242" s="107"/>
    </row>
    <row r="243" spans="3:3" ht="12" customHeight="1">
      <c r="C243" s="107"/>
    </row>
    <row r="244" spans="3:3" ht="12" customHeight="1">
      <c r="C244" s="107"/>
    </row>
    <row r="245" spans="3:3" ht="12" customHeight="1">
      <c r="C245" s="107"/>
    </row>
    <row r="246" spans="3:3" ht="12" customHeight="1">
      <c r="C246" s="107"/>
    </row>
    <row r="247" spans="3:3" ht="12" customHeight="1">
      <c r="C247" s="107"/>
    </row>
    <row r="248" spans="3:3" ht="12" customHeight="1">
      <c r="C248" s="107"/>
    </row>
    <row r="249" spans="3:3" ht="12" customHeight="1">
      <c r="C249" s="107"/>
    </row>
    <row r="250" spans="3:3" ht="12" customHeight="1">
      <c r="C250" s="107"/>
    </row>
    <row r="251" spans="3:3" ht="12" customHeight="1">
      <c r="C251" s="107"/>
    </row>
    <row r="252" spans="3:3" ht="12" customHeight="1">
      <c r="C252" s="107"/>
    </row>
    <row r="253" spans="3:3" ht="12" customHeight="1">
      <c r="C253" s="107"/>
    </row>
  </sheetData>
  <sheetProtection algorithmName="SHA-512" hashValue="Fl7VUNvfgU+XGlgK49/du5uXaJM1UHcT+W99RxjZK/wk8sbV31MzHgYMoYIuRa36DYEu0HZKaA0j4sWyFc+ncw==" saltValue="V4w3foTEFs5OehKP/fOuEg==" spinCount="100000" sheet="1" objects="1" scenarios="1"/>
  <mergeCells count="7">
    <mergeCell ref="B86:H86"/>
    <mergeCell ref="B17:H17"/>
    <mergeCell ref="B78:H78"/>
    <mergeCell ref="B66:H66"/>
    <mergeCell ref="B70:H70"/>
    <mergeCell ref="B71:H71"/>
    <mergeCell ref="B72:H72"/>
  </mergeCells>
  <conditionalFormatting sqref="C12">
    <cfRule type="cellIs" dxfId="86" priority="3" stopIfTrue="1" operator="equal">
      <formula>0</formula>
    </cfRule>
    <cfRule type="cellIs" dxfId="85" priority="4" stopIfTrue="1" operator="notEqual">
      <formula>0</formula>
    </cfRule>
  </conditionalFormatting>
  <conditionalFormatting sqref="C13">
    <cfRule type="cellIs" dxfId="84" priority="1" stopIfTrue="1" operator="equal">
      <formula>0</formula>
    </cfRule>
    <cfRule type="cellIs" dxfId="83" priority="2" stopIfTrue="1" operator="notEqual">
      <formula>0</formula>
    </cfRule>
  </conditionalFormatting>
  <pageMargins left="0.70866141732283472" right="0.70866141732283472" top="0.74803149606299213" bottom="0.74803149606299213" header="0.31496062992125984" footer="0.31496062992125984"/>
  <pageSetup paperSize="8"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F8CD-4FD6-4A1A-9642-627CE4E027A6}">
  <sheetPr>
    <tabColor theme="3"/>
  </sheetPr>
  <dimension ref="A2:H21"/>
  <sheetViews>
    <sheetView showGridLines="0" workbookViewId="0">
      <selection sqref="A1:I23"/>
    </sheetView>
  </sheetViews>
  <sheetFormatPr defaultColWidth="8.85546875" defaultRowHeight="12"/>
  <cols>
    <col min="1" max="1" width="2.7109375" style="51" customWidth="1"/>
    <col min="2" max="2" width="11.140625" style="59" customWidth="1"/>
    <col min="3" max="16384" width="8.85546875" style="59"/>
  </cols>
  <sheetData>
    <row r="2" spans="2:8" ht="15.75">
      <c r="B2" s="50" t="str">
        <f ca="1">MID(CELL("filename",A1),FIND("]",CELL("filename",A1))+1,255)</f>
        <v>Glossary</v>
      </c>
    </row>
    <row r="3" spans="2:8" s="51" customFormat="1" ht="12" customHeight="1">
      <c r="B3" s="52"/>
      <c r="C3" s="53"/>
      <c r="D3" s="54"/>
      <c r="E3" s="54"/>
      <c r="F3" s="54"/>
      <c r="G3" s="54"/>
      <c r="H3" s="54"/>
    </row>
    <row r="5" spans="2:8" s="51" customFormat="1" ht="12" customHeight="1">
      <c r="B5" s="55" t="s">
        <v>26</v>
      </c>
      <c r="C5" s="56" t="s">
        <v>27</v>
      </c>
      <c r="D5" s="57"/>
      <c r="E5" s="57"/>
      <c r="F5" s="57"/>
      <c r="G5" s="58"/>
      <c r="H5" s="57"/>
    </row>
    <row r="6" spans="2:8">
      <c r="B6" s="60" t="s">
        <v>28</v>
      </c>
      <c r="C6" s="60" t="s">
        <v>29</v>
      </c>
      <c r="D6" s="60"/>
    </row>
    <row r="7" spans="2:8">
      <c r="B7" s="60" t="s">
        <v>30</v>
      </c>
      <c r="C7" s="60" t="s">
        <v>31</v>
      </c>
      <c r="D7" s="60"/>
    </row>
    <row r="8" spans="2:8">
      <c r="B8" s="60" t="s">
        <v>32</v>
      </c>
      <c r="C8" s="60" t="s">
        <v>33</v>
      </c>
      <c r="D8" s="60"/>
    </row>
    <row r="9" spans="2:8">
      <c r="B9" s="60" t="s">
        <v>34</v>
      </c>
      <c r="C9" s="60" t="s">
        <v>35</v>
      </c>
      <c r="D9" s="60"/>
    </row>
    <row r="10" spans="2:8">
      <c r="B10" s="60" t="s">
        <v>36</v>
      </c>
      <c r="C10" s="60" t="s">
        <v>37</v>
      </c>
      <c r="D10" s="60"/>
    </row>
    <row r="11" spans="2:8">
      <c r="B11" s="60" t="s">
        <v>38</v>
      </c>
      <c r="C11" s="60" t="s">
        <v>39</v>
      </c>
      <c r="D11" s="60"/>
    </row>
    <row r="12" spans="2:8">
      <c r="B12" s="60" t="s">
        <v>40</v>
      </c>
      <c r="C12" s="60" t="s">
        <v>41</v>
      </c>
      <c r="D12" s="60"/>
    </row>
    <row r="13" spans="2:8">
      <c r="B13" s="60" t="s">
        <v>42</v>
      </c>
      <c r="C13" s="60" t="s">
        <v>43</v>
      </c>
      <c r="D13" s="60"/>
    </row>
    <row r="14" spans="2:8">
      <c r="B14" s="60" t="s">
        <v>44</v>
      </c>
      <c r="C14" s="60" t="s">
        <v>45</v>
      </c>
      <c r="D14" s="60"/>
    </row>
    <row r="15" spans="2:8">
      <c r="B15" s="60" t="s">
        <v>46</v>
      </c>
      <c r="C15" s="60" t="s">
        <v>47</v>
      </c>
      <c r="D15" s="60"/>
    </row>
    <row r="16" spans="2:8">
      <c r="B16" s="60" t="s">
        <v>48</v>
      </c>
      <c r="C16" s="60" t="s">
        <v>49</v>
      </c>
      <c r="D16" s="60"/>
    </row>
    <row r="17" spans="2:4">
      <c r="B17" s="60" t="s">
        <v>50</v>
      </c>
      <c r="C17" s="60" t="s">
        <v>51</v>
      </c>
      <c r="D17" s="60"/>
    </row>
    <row r="18" spans="2:4">
      <c r="B18" s="60" t="s">
        <v>52</v>
      </c>
      <c r="C18" s="60" t="s">
        <v>53</v>
      </c>
      <c r="D18" s="60"/>
    </row>
    <row r="19" spans="2:4">
      <c r="B19" s="60" t="s">
        <v>54</v>
      </c>
      <c r="C19" s="60" t="s">
        <v>55</v>
      </c>
      <c r="D19" s="60"/>
    </row>
    <row r="20" spans="2:4">
      <c r="B20" s="60" t="s">
        <v>56</v>
      </c>
      <c r="C20" s="60" t="s">
        <v>57</v>
      </c>
      <c r="D20" s="60"/>
    </row>
    <row r="21" spans="2:4">
      <c r="B21" s="60" t="s">
        <v>58</v>
      </c>
      <c r="C21" s="60" t="s">
        <v>59</v>
      </c>
      <c r="D21" s="60"/>
    </row>
  </sheetData>
  <sheetProtection algorithmName="SHA-512" hashValue="tvcwFsaOUkcy0YInY4P+Az5nQaIQOOJdTtuIGXWhPf3AxAgDZunzUVrXoSVKfy3qWGD9O8EXeyGU8NGwcHginQ==" saltValue="wUD5B7Rz23Sq+ISCsOHJ4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outlinePr summaryBelow="0"/>
  </sheetPr>
  <dimension ref="A2:AD36"/>
  <sheetViews>
    <sheetView showGridLines="0" workbookViewId="0">
      <selection sqref="A1:H36"/>
    </sheetView>
  </sheetViews>
  <sheetFormatPr defaultColWidth="0" defaultRowHeight="12" customHeight="1"/>
  <cols>
    <col min="1" max="1" width="2.7109375" style="115" customWidth="1"/>
    <col min="2" max="2" width="51.140625" style="115" customWidth="1"/>
    <col min="3" max="6" width="11.7109375" style="115" customWidth="1"/>
    <col min="7" max="8" width="2.7109375" style="115" customWidth="1"/>
    <col min="9" max="13" width="20.7109375" style="115" customWidth="1"/>
    <col min="14" max="14" width="2.7109375" style="115" customWidth="1"/>
    <col min="15" max="17" width="9.140625" style="115" hidden="1" customWidth="1"/>
    <col min="18" max="30" width="0" style="115" hidden="1" customWidth="1"/>
    <col min="31" max="16384" width="9.140625" style="115" hidden="1"/>
  </cols>
  <sheetData>
    <row r="2" spans="2:13" ht="15" customHeight="1">
      <c r="B2" s="71" t="str">
        <f ca="1">MID(CELL("filename",A1),FIND("]",CELL("filename",A1))+1,255)</f>
        <v>Check Summary</v>
      </c>
      <c r="C2" s="70"/>
      <c r="D2" s="70"/>
      <c r="E2" s="70"/>
      <c r="F2" s="70"/>
      <c r="G2" s="70"/>
      <c r="H2" s="70"/>
      <c r="I2" s="70"/>
      <c r="J2" s="70"/>
      <c r="K2" s="70"/>
      <c r="L2" s="70"/>
      <c r="M2" s="70"/>
    </row>
    <row r="3" spans="2:13" ht="12" customHeight="1">
      <c r="B3" s="95" t="s">
        <v>60</v>
      </c>
      <c r="C3" s="95"/>
      <c r="D3" s="75"/>
      <c r="E3" s="95"/>
      <c r="F3" s="95"/>
      <c r="G3" s="70"/>
      <c r="H3" s="70"/>
      <c r="I3" s="70"/>
      <c r="J3" s="70"/>
      <c r="L3" s="70"/>
      <c r="M3" s="70"/>
    </row>
    <row r="4" spans="2:13" ht="12" customHeight="1">
      <c r="B4" s="70"/>
      <c r="C4" s="70"/>
      <c r="D4" s="70"/>
      <c r="E4" s="70"/>
      <c r="F4" s="70"/>
      <c r="G4" s="70"/>
      <c r="H4" s="70"/>
      <c r="I4" s="70"/>
      <c r="J4" s="70"/>
      <c r="L4" s="70"/>
      <c r="M4" s="70"/>
    </row>
    <row r="5" spans="2:13" ht="12" customHeight="1">
      <c r="B5" s="79" t="s">
        <v>61</v>
      </c>
      <c r="C5" s="70"/>
      <c r="D5" s="70"/>
      <c r="E5" s="70"/>
      <c r="F5" s="70"/>
      <c r="G5" s="70"/>
      <c r="H5" s="70"/>
      <c r="I5" s="70"/>
      <c r="J5" s="70"/>
      <c r="L5" s="70"/>
      <c r="M5" s="70"/>
    </row>
    <row r="6" spans="2:13" ht="12" customHeight="1">
      <c r="B6" s="79"/>
      <c r="C6" s="70"/>
      <c r="D6" s="70"/>
      <c r="E6" s="70"/>
      <c r="F6" s="70"/>
      <c r="G6" s="70"/>
      <c r="H6" s="70"/>
      <c r="I6" s="70"/>
      <c r="J6" s="70"/>
      <c r="L6" s="70"/>
      <c r="M6" s="70"/>
    </row>
    <row r="7" spans="2:13" ht="12" customHeight="1">
      <c r="B7" s="70"/>
      <c r="C7" s="70"/>
      <c r="D7" s="70"/>
      <c r="E7" s="70"/>
      <c r="F7" s="70"/>
      <c r="G7" s="70"/>
      <c r="H7" s="70"/>
      <c r="I7" s="116"/>
      <c r="J7" s="70"/>
      <c r="L7" s="70"/>
      <c r="M7" s="70"/>
    </row>
    <row r="8" spans="2:13" ht="12" customHeight="1">
      <c r="B8" s="95" t="s">
        <v>62</v>
      </c>
      <c r="C8" s="77" t="s">
        <v>63</v>
      </c>
      <c r="D8" s="77" t="s">
        <v>64</v>
      </c>
      <c r="E8" s="95"/>
      <c r="F8" s="75"/>
      <c r="G8" s="117"/>
      <c r="H8" s="117"/>
    </row>
    <row r="9" spans="2:13" ht="12" customHeight="1">
      <c r="B9" s="70"/>
      <c r="C9" s="70"/>
      <c r="D9" s="70"/>
      <c r="E9" s="70"/>
      <c r="G9" s="70"/>
      <c r="H9" s="70"/>
    </row>
    <row r="10" spans="2:13" s="120" customFormat="1" ht="12" customHeight="1">
      <c r="B10" s="88" t="s">
        <v>62</v>
      </c>
      <c r="C10" s="118" t="s">
        <v>65</v>
      </c>
      <c r="D10" s="83">
        <f ca="1">SUM(D12:D35)</f>
        <v>0</v>
      </c>
      <c r="E10" s="119"/>
      <c r="G10" s="121"/>
      <c r="H10" s="121"/>
    </row>
    <row r="11" spans="2:13" ht="12" customHeight="1">
      <c r="B11" s="70"/>
      <c r="C11" s="118"/>
      <c r="D11" s="122"/>
      <c r="E11" s="70"/>
      <c r="G11" s="122"/>
      <c r="H11" s="122"/>
      <c r="I11" s="122"/>
      <c r="J11" s="122"/>
      <c r="K11" s="122"/>
      <c r="L11" s="122"/>
      <c r="M11" s="122"/>
    </row>
    <row r="12" spans="2:13" ht="12" customHeight="1">
      <c r="B12" s="123" t="s">
        <v>66</v>
      </c>
      <c r="C12" s="118"/>
      <c r="D12" s="70"/>
      <c r="E12" s="70"/>
      <c r="G12" s="70"/>
      <c r="H12" s="70"/>
    </row>
    <row r="13" spans="2:13" ht="12" customHeight="1">
      <c r="B13" s="70" t="s">
        <v>67</v>
      </c>
      <c r="C13" s="118" t="s">
        <v>65</v>
      </c>
      <c r="D13" s="83">
        <f ca="1">'Target Revenue'!I46</f>
        <v>0</v>
      </c>
      <c r="E13" s="124"/>
      <c r="G13" s="125"/>
      <c r="H13" s="125"/>
    </row>
    <row r="14" spans="2:13" ht="12" customHeight="1">
      <c r="B14" s="70"/>
      <c r="C14" s="118"/>
      <c r="D14" s="118"/>
      <c r="E14" s="118"/>
      <c r="G14" s="125"/>
      <c r="H14" s="125"/>
    </row>
    <row r="15" spans="2:13" ht="12" customHeight="1">
      <c r="B15" s="123" t="s">
        <v>24</v>
      </c>
      <c r="C15" s="118"/>
      <c r="D15" s="118"/>
      <c r="E15" s="118"/>
      <c r="G15" s="125"/>
      <c r="H15" s="125"/>
    </row>
    <row r="16" spans="2:13" ht="12" customHeight="1">
      <c r="B16" s="70" t="s">
        <v>68</v>
      </c>
      <c r="C16" s="118" t="s">
        <v>65</v>
      </c>
      <c r="D16" s="83">
        <f>'Asset Mapping'!B135</f>
        <v>0</v>
      </c>
      <c r="E16" s="118"/>
      <c r="G16" s="125"/>
      <c r="H16" s="125"/>
    </row>
    <row r="17" spans="2:8" ht="12" customHeight="1">
      <c r="B17" s="70"/>
      <c r="C17" s="118"/>
      <c r="D17" s="118"/>
      <c r="E17" s="118"/>
      <c r="G17" s="125"/>
      <c r="H17" s="125"/>
    </row>
    <row r="18" spans="2:8" ht="12" customHeight="1">
      <c r="B18" s="123" t="s">
        <v>69</v>
      </c>
      <c r="C18" s="118"/>
      <c r="D18" s="118"/>
      <c r="E18" s="118"/>
      <c r="G18" s="125"/>
      <c r="H18" s="125"/>
    </row>
    <row r="19" spans="2:8" ht="12" customHeight="1">
      <c r="B19" s="70" t="s">
        <v>70</v>
      </c>
      <c r="C19" s="118" t="s">
        <v>65</v>
      </c>
      <c r="D19" s="83">
        <f ca="1">'Pricing Area Allocations'!B58</f>
        <v>0</v>
      </c>
      <c r="E19" s="118"/>
      <c r="G19" s="125"/>
      <c r="H19" s="125"/>
    </row>
    <row r="20" spans="2:8" ht="12" customHeight="1">
      <c r="B20" s="70"/>
      <c r="C20" s="118"/>
      <c r="D20" s="118"/>
      <c r="E20" s="118"/>
      <c r="G20" s="125"/>
      <c r="H20" s="125"/>
    </row>
    <row r="21" spans="2:8" ht="12" customHeight="1">
      <c r="B21" s="123" t="s">
        <v>71</v>
      </c>
      <c r="C21" s="118"/>
      <c r="D21" s="118"/>
      <c r="E21" s="118"/>
      <c r="G21" s="125"/>
      <c r="H21" s="125"/>
    </row>
    <row r="22" spans="2:8" ht="12" customHeight="1">
      <c r="B22" s="70" t="s">
        <v>72</v>
      </c>
      <c r="C22" s="118" t="s">
        <v>65</v>
      </c>
      <c r="D22" s="83">
        <f>'RAB Allocations'!C23</f>
        <v>0</v>
      </c>
      <c r="E22" s="118"/>
      <c r="G22" s="125"/>
      <c r="H22" s="125"/>
    </row>
    <row r="23" spans="2:8" ht="12" customHeight="1">
      <c r="B23" s="70"/>
      <c r="C23" s="118"/>
      <c r="D23" s="118"/>
      <c r="E23" s="118"/>
      <c r="G23" s="125"/>
      <c r="H23" s="125"/>
    </row>
    <row r="24" spans="2:8" ht="12" customHeight="1">
      <c r="B24" s="123" t="s">
        <v>73</v>
      </c>
      <c r="C24" s="118"/>
      <c r="D24" s="118"/>
      <c r="E24" s="118"/>
      <c r="G24" s="125"/>
      <c r="H24" s="125"/>
    </row>
    <row r="25" spans="2:8" ht="12" customHeight="1">
      <c r="B25" s="70" t="s">
        <v>72</v>
      </c>
      <c r="C25" s="118" t="s">
        <v>65</v>
      </c>
      <c r="D25" s="83">
        <f>'RAB - Depreciation Allocations'!C23</f>
        <v>0</v>
      </c>
      <c r="E25" s="118"/>
      <c r="G25" s="125"/>
      <c r="H25" s="125"/>
    </row>
    <row r="26" spans="2:8" ht="12" customHeight="1">
      <c r="B26" s="70"/>
      <c r="C26" s="118"/>
      <c r="D26" s="118"/>
      <c r="E26" s="118"/>
      <c r="G26" s="125"/>
      <c r="H26" s="125"/>
    </row>
    <row r="27" spans="2:8" ht="12" customHeight="1">
      <c r="B27" s="123" t="s">
        <v>74</v>
      </c>
      <c r="C27" s="118"/>
      <c r="D27" s="118"/>
      <c r="E27" s="118"/>
      <c r="G27" s="125"/>
      <c r="H27" s="125"/>
    </row>
    <row r="28" spans="2:8" ht="12" customHeight="1">
      <c r="B28" s="70" t="s">
        <v>75</v>
      </c>
      <c r="C28" s="118" t="s">
        <v>65</v>
      </c>
      <c r="D28" s="83">
        <f ca="1">SUM('Load Group Allocations'!H302:K302)</f>
        <v>0</v>
      </c>
      <c r="E28" s="118"/>
      <c r="G28" s="125"/>
      <c r="H28" s="125"/>
    </row>
    <row r="29" spans="2:8" ht="12" customHeight="1">
      <c r="B29" s="70"/>
      <c r="C29" s="118"/>
      <c r="D29" s="118"/>
      <c r="E29" s="118"/>
      <c r="G29" s="125"/>
      <c r="H29" s="125"/>
    </row>
    <row r="30" spans="2:8" ht="12" customHeight="1">
      <c r="B30" s="123" t="s">
        <v>76</v>
      </c>
      <c r="C30" s="118"/>
      <c r="D30" s="118"/>
      <c r="E30" s="118"/>
      <c r="G30" s="125"/>
      <c r="H30" s="125"/>
    </row>
    <row r="31" spans="2:8" ht="12" customHeight="1">
      <c r="B31" s="70" t="s">
        <v>77</v>
      </c>
      <c r="C31" s="118" t="s">
        <v>65</v>
      </c>
      <c r="D31" s="83">
        <f ca="1">'Rev - Pricing Area &amp; Cust Group'!C46</f>
        <v>0</v>
      </c>
      <c r="E31" s="118"/>
      <c r="G31" s="125"/>
      <c r="H31" s="125"/>
    </row>
    <row r="32" spans="2:8" ht="12" customHeight="1">
      <c r="B32" s="70"/>
      <c r="C32" s="118"/>
      <c r="D32" s="118"/>
      <c r="E32" s="118"/>
      <c r="G32" s="125"/>
      <c r="H32" s="125"/>
    </row>
    <row r="33" spans="2:8" ht="12" customHeight="1">
      <c r="B33" s="123" t="s">
        <v>78</v>
      </c>
      <c r="C33" s="118"/>
      <c r="D33" s="118"/>
      <c r="E33" s="118"/>
      <c r="G33" s="125"/>
      <c r="H33" s="125"/>
    </row>
    <row r="34" spans="2:8" ht="12" customHeight="1">
      <c r="B34" s="70" t="s">
        <v>79</v>
      </c>
      <c r="C34" s="118" t="s">
        <v>65</v>
      </c>
      <c r="D34" s="83">
        <f ca="1">'Pricing Methodology Tables'!C47</f>
        <v>0</v>
      </c>
      <c r="E34" s="118"/>
      <c r="G34" s="125"/>
      <c r="H34" s="125"/>
    </row>
    <row r="35" spans="2:8" ht="12" customHeight="1">
      <c r="B35" s="70"/>
      <c r="C35" s="118"/>
      <c r="D35" s="118"/>
      <c r="E35" s="118"/>
      <c r="G35" s="125"/>
      <c r="H35" s="125"/>
    </row>
    <row r="36" spans="2:8" ht="12" customHeight="1">
      <c r="B36" s="120"/>
      <c r="C36" s="120"/>
      <c r="D36" s="120"/>
    </row>
  </sheetData>
  <sheetProtection algorithmName="SHA-512" hashValue="yYoELYX7kxEZo1pU1O+JXdT2ha4Vo4MU31FatTz6rDf754vxRBUz4cNO3kAdzlk5slBxdZjqqjb7t6srywJ0wQ==" saltValue="RoCCNNMLeq63UHbVLNBPOA==" spinCount="100000" sheet="1" objects="1" scenarios="1"/>
  <conditionalFormatting sqref="D13">
    <cfRule type="cellIs" dxfId="82" priority="57" stopIfTrue="1" operator="equal">
      <formula>0</formula>
    </cfRule>
    <cfRule type="cellIs" dxfId="81" priority="58" stopIfTrue="1" operator="notEqual">
      <formula>0</formula>
    </cfRule>
  </conditionalFormatting>
  <conditionalFormatting sqref="D10">
    <cfRule type="cellIs" dxfId="80" priority="49" stopIfTrue="1" operator="equal">
      <formula>0</formula>
    </cfRule>
    <cfRule type="cellIs" dxfId="79" priority="50" stopIfTrue="1" operator="notEqual">
      <formula>0</formula>
    </cfRule>
  </conditionalFormatting>
  <conditionalFormatting sqref="B5">
    <cfRule type="cellIs" dxfId="78" priority="25" operator="between">
      <formula>-ErrorTolerance</formula>
      <formula>ErrorTolerance</formula>
    </cfRule>
  </conditionalFormatting>
  <conditionalFormatting sqref="D28">
    <cfRule type="cellIs" dxfId="77" priority="5" stopIfTrue="1" operator="equal">
      <formula>0</formula>
    </cfRule>
    <cfRule type="cellIs" dxfId="76" priority="6" stopIfTrue="1" operator="notEqual">
      <formula>0</formula>
    </cfRule>
  </conditionalFormatting>
  <conditionalFormatting sqref="D16">
    <cfRule type="cellIs" dxfId="75" priority="15" stopIfTrue="1" operator="equal">
      <formula>0</formula>
    </cfRule>
    <cfRule type="cellIs" dxfId="74" priority="16" stopIfTrue="1" operator="notEqual">
      <formula>0</formula>
    </cfRule>
  </conditionalFormatting>
  <conditionalFormatting sqref="D19">
    <cfRule type="cellIs" dxfId="73" priority="13" stopIfTrue="1" operator="equal">
      <formula>0</formula>
    </cfRule>
    <cfRule type="cellIs" dxfId="72" priority="14" stopIfTrue="1" operator="notEqual">
      <formula>0</formula>
    </cfRule>
  </conditionalFormatting>
  <conditionalFormatting sqref="D22">
    <cfRule type="cellIs" dxfId="71" priority="11" stopIfTrue="1" operator="equal">
      <formula>0</formula>
    </cfRule>
    <cfRule type="cellIs" dxfId="70" priority="12" stopIfTrue="1" operator="notEqual">
      <formula>0</formula>
    </cfRule>
  </conditionalFormatting>
  <conditionalFormatting sqref="D34">
    <cfRule type="cellIs" dxfId="69" priority="1" stopIfTrue="1" operator="equal">
      <formula>0</formula>
    </cfRule>
    <cfRule type="cellIs" dxfId="68" priority="2" stopIfTrue="1" operator="notEqual">
      <formula>0</formula>
    </cfRule>
  </conditionalFormatting>
  <conditionalFormatting sqref="D25">
    <cfRule type="cellIs" dxfId="67" priority="9" stopIfTrue="1" operator="equal">
      <formula>0</formula>
    </cfRule>
    <cfRule type="cellIs" dxfId="66" priority="10" stopIfTrue="1" operator="notEqual">
      <formula>0</formula>
    </cfRule>
  </conditionalFormatting>
  <conditionalFormatting sqref="D31">
    <cfRule type="cellIs" dxfId="65" priority="3" stopIfTrue="1" operator="equal">
      <formula>0</formula>
    </cfRule>
    <cfRule type="cellIs" dxfId="64" priority="4" stopIfTrue="1" operator="notEqual">
      <formula>0</formula>
    </cfRule>
  </conditionalFormatting>
  <pageMargins left="0.70866141732283472" right="0.70866141732283472" top="0.74803149606299213" bottom="0.74803149606299213" header="0.31496062992125984" footer="0.31496062992125984"/>
  <pageSetup paperSize="9" scale="64" fitToHeight="3"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pageSetUpPr fitToPage="1"/>
  </sheetPr>
  <dimension ref="B2:F77"/>
  <sheetViews>
    <sheetView showGridLines="0" workbookViewId="0">
      <selection sqref="A1:E78"/>
    </sheetView>
  </sheetViews>
  <sheetFormatPr defaultColWidth="9.140625" defaultRowHeight="12" customHeight="1" outlineLevelRow="1"/>
  <cols>
    <col min="1" max="1" width="2.7109375" style="51" customWidth="1"/>
    <col min="2" max="2" width="53" style="51" bestFit="1" customWidth="1"/>
    <col min="3" max="4" width="26.85546875" style="51" bestFit="1" customWidth="1"/>
    <col min="5" max="5" width="25.7109375" style="51" customWidth="1"/>
    <col min="6" max="6" width="19.140625" style="51" customWidth="1"/>
    <col min="7" max="8" width="2.7109375" style="51" customWidth="1"/>
    <col min="9" max="12" width="11.42578125" style="51" customWidth="1"/>
    <col min="13" max="16384" width="9.140625" style="51"/>
  </cols>
  <sheetData>
    <row r="2" spans="2:5" ht="15" customHeight="1">
      <c r="B2" s="50" t="str">
        <f ca="1">MID(CELL("filename",A1),FIND("]",CELL("filename",A1))+1,255)</f>
        <v>Name labels</v>
      </c>
    </row>
    <row r="4" spans="2:5" ht="12" customHeight="1">
      <c r="B4" s="52" t="s">
        <v>60</v>
      </c>
      <c r="C4" s="61"/>
      <c r="D4" s="61"/>
    </row>
    <row r="5" spans="2:5" ht="12" customHeight="1" outlineLevel="1"/>
    <row r="6" spans="2:5" ht="12" customHeight="1" outlineLevel="1">
      <c r="B6" s="51" t="s">
        <v>80</v>
      </c>
    </row>
    <row r="8" spans="2:5" ht="12" customHeight="1">
      <c r="B8" s="52" t="s">
        <v>81</v>
      </c>
      <c r="C8" s="52" t="s">
        <v>82</v>
      </c>
      <c r="D8" s="52" t="s">
        <v>83</v>
      </c>
      <c r="E8" s="52" t="s">
        <v>84</v>
      </c>
    </row>
    <row r="10" spans="2:5" ht="12" customHeight="1">
      <c r="B10" s="63" t="s">
        <v>85</v>
      </c>
      <c r="C10" s="64" t="s">
        <v>86</v>
      </c>
      <c r="D10" s="64" t="s">
        <v>87</v>
      </c>
      <c r="E10" s="64" t="s">
        <v>88</v>
      </c>
    </row>
    <row r="11" spans="2:5" ht="12" customHeight="1">
      <c r="B11" s="63" t="s">
        <v>89</v>
      </c>
      <c r="C11" s="64" t="s">
        <v>90</v>
      </c>
    </row>
    <row r="12" spans="2:5" ht="12" customHeight="1">
      <c r="B12" s="63" t="s">
        <v>91</v>
      </c>
      <c r="C12" s="64" t="s">
        <v>92</v>
      </c>
    </row>
    <row r="13" spans="2:5" ht="12" customHeight="1">
      <c r="B13" s="63" t="s">
        <v>93</v>
      </c>
      <c r="C13" s="64" t="s">
        <v>94</v>
      </c>
    </row>
    <row r="14" spans="2:5" ht="12" customHeight="1">
      <c r="C14" s="64" t="s">
        <v>95</v>
      </c>
    </row>
    <row r="15" spans="2:5" ht="12" customHeight="1">
      <c r="C15" s="64" t="s">
        <v>96</v>
      </c>
    </row>
    <row r="17" spans="2:4" ht="12" customHeight="1">
      <c r="B17" s="52" t="s">
        <v>97</v>
      </c>
      <c r="C17" s="52" t="s">
        <v>98</v>
      </c>
      <c r="D17" s="52" t="s">
        <v>99</v>
      </c>
    </row>
    <row r="19" spans="2:4" ht="12" customHeight="1">
      <c r="B19" s="65" t="s">
        <v>100</v>
      </c>
      <c r="C19" s="65" t="s">
        <v>101</v>
      </c>
      <c r="D19" s="64" t="s">
        <v>102</v>
      </c>
    </row>
    <row r="20" spans="2:4" ht="12" customHeight="1">
      <c r="B20" s="65" t="s">
        <v>103</v>
      </c>
      <c r="C20" s="65" t="s">
        <v>101</v>
      </c>
      <c r="D20" s="64" t="s">
        <v>102</v>
      </c>
    </row>
    <row r="21" spans="2:4" ht="12" customHeight="1">
      <c r="B21" s="65" t="s">
        <v>104</v>
      </c>
      <c r="C21" s="65" t="s">
        <v>101</v>
      </c>
      <c r="D21" s="64" t="s">
        <v>102</v>
      </c>
    </row>
    <row r="22" spans="2:4" ht="12" customHeight="1">
      <c r="B22" s="65" t="s">
        <v>105</v>
      </c>
      <c r="C22" s="65" t="s">
        <v>101</v>
      </c>
      <c r="D22" s="64" t="s">
        <v>102</v>
      </c>
    </row>
    <row r="23" spans="2:4" ht="12" customHeight="1">
      <c r="B23" s="65" t="s">
        <v>106</v>
      </c>
      <c r="C23" s="65" t="s">
        <v>101</v>
      </c>
      <c r="D23" s="64" t="s">
        <v>102</v>
      </c>
    </row>
    <row r="24" spans="2:4" ht="12" customHeight="1">
      <c r="B24" s="65" t="s">
        <v>107</v>
      </c>
      <c r="C24" s="65" t="s">
        <v>101</v>
      </c>
      <c r="D24" s="64" t="s">
        <v>108</v>
      </c>
    </row>
    <row r="25" spans="2:4" ht="12" customHeight="1">
      <c r="B25" s="65" t="s">
        <v>109</v>
      </c>
      <c r="C25" s="65" t="s">
        <v>101</v>
      </c>
      <c r="D25" s="64" t="s">
        <v>108</v>
      </c>
    </row>
    <row r="26" spans="2:4" ht="12" customHeight="1">
      <c r="B26" s="65" t="s">
        <v>110</v>
      </c>
      <c r="C26" s="65" t="s">
        <v>101</v>
      </c>
      <c r="D26" s="64" t="s">
        <v>108</v>
      </c>
    </row>
    <row r="27" spans="2:4" ht="12" customHeight="1">
      <c r="B27" s="65" t="s">
        <v>111</v>
      </c>
      <c r="C27" s="65" t="s">
        <v>101</v>
      </c>
      <c r="D27" s="64" t="s">
        <v>108</v>
      </c>
    </row>
    <row r="28" spans="2:4" ht="12" customHeight="1">
      <c r="B28" s="65" t="s">
        <v>112</v>
      </c>
      <c r="C28" s="65" t="s">
        <v>113</v>
      </c>
      <c r="D28" s="64" t="s">
        <v>114</v>
      </c>
    </row>
    <row r="29" spans="2:4" ht="12" customHeight="1">
      <c r="B29" s="65" t="s">
        <v>115</v>
      </c>
      <c r="C29" s="65" t="s">
        <v>113</v>
      </c>
      <c r="D29" s="64" t="s">
        <v>114</v>
      </c>
    </row>
    <row r="30" spans="2:4" ht="12" customHeight="1">
      <c r="B30" s="65" t="s">
        <v>116</v>
      </c>
      <c r="C30" s="65" t="s">
        <v>113</v>
      </c>
      <c r="D30" s="64" t="s">
        <v>114</v>
      </c>
    </row>
    <row r="31" spans="2:4" ht="12" customHeight="1">
      <c r="B31" s="65" t="s">
        <v>117</v>
      </c>
      <c r="C31" s="65" t="s">
        <v>113</v>
      </c>
      <c r="D31" s="64" t="s">
        <v>114</v>
      </c>
    </row>
    <row r="32" spans="2:4" ht="12" customHeight="1">
      <c r="B32" s="65" t="s">
        <v>118</v>
      </c>
      <c r="C32" s="65" t="s">
        <v>113</v>
      </c>
      <c r="D32" s="64" t="s">
        <v>102</v>
      </c>
    </row>
    <row r="33" spans="2:6" ht="12" customHeight="1">
      <c r="B33" s="65" t="s">
        <v>119</v>
      </c>
      <c r="C33" s="65" t="s">
        <v>113</v>
      </c>
      <c r="D33" s="64" t="s">
        <v>108</v>
      </c>
    </row>
    <row r="34" spans="2:6" ht="12" customHeight="1">
      <c r="B34" s="65" t="s">
        <v>120</v>
      </c>
      <c r="C34" s="65" t="s">
        <v>113</v>
      </c>
      <c r="D34" s="64" t="s">
        <v>114</v>
      </c>
    </row>
    <row r="35" spans="2:6" ht="12" customHeight="1">
      <c r="B35" s="65" t="s">
        <v>121</v>
      </c>
      <c r="C35" s="65" t="s">
        <v>113</v>
      </c>
      <c r="D35" s="64" t="s">
        <v>114</v>
      </c>
    </row>
    <row r="36" spans="2:6" ht="12" customHeight="1">
      <c r="B36" s="65" t="s">
        <v>122</v>
      </c>
      <c r="C36" s="65" t="s">
        <v>113</v>
      </c>
      <c r="D36" s="64" t="s">
        <v>114</v>
      </c>
    </row>
    <row r="37" spans="2:6" ht="12" customHeight="1">
      <c r="B37" s="65" t="s">
        <v>123</v>
      </c>
      <c r="C37" s="65" t="s">
        <v>113</v>
      </c>
      <c r="D37" s="64" t="s">
        <v>114</v>
      </c>
    </row>
    <row r="38" spans="2:6" ht="12" customHeight="1">
      <c r="B38" s="65" t="s">
        <v>124</v>
      </c>
      <c r="C38" s="65" t="s">
        <v>113</v>
      </c>
      <c r="D38" s="64" t="s">
        <v>102</v>
      </c>
    </row>
    <row r="39" spans="2:6" ht="12" customHeight="1">
      <c r="B39" s="65" t="s">
        <v>125</v>
      </c>
      <c r="C39" s="65" t="s">
        <v>113</v>
      </c>
      <c r="D39" s="64" t="s">
        <v>102</v>
      </c>
    </row>
    <row r="40" spans="2:6" ht="12" customHeight="1">
      <c r="B40" s="65" t="s">
        <v>126</v>
      </c>
      <c r="C40" s="65" t="s">
        <v>113</v>
      </c>
      <c r="D40" s="64" t="s">
        <v>108</v>
      </c>
    </row>
    <row r="41" spans="2:6" ht="12" customHeight="1">
      <c r="B41" s="65" t="s">
        <v>127</v>
      </c>
      <c r="C41" s="65" t="s">
        <v>113</v>
      </c>
      <c r="D41" s="64" t="s">
        <v>114</v>
      </c>
    </row>
    <row r="42" spans="2:6" ht="12" customHeight="1">
      <c r="B42" s="65" t="s">
        <v>128</v>
      </c>
      <c r="C42" s="65" t="s">
        <v>113</v>
      </c>
      <c r="D42" s="64" t="s">
        <v>102</v>
      </c>
    </row>
    <row r="43" spans="2:6" ht="12" customHeight="1">
      <c r="B43" s="65" t="s">
        <v>129</v>
      </c>
      <c r="C43" s="65" t="s">
        <v>113</v>
      </c>
      <c r="D43" s="64" t="s">
        <v>114</v>
      </c>
    </row>
    <row r="45" spans="2:6" ht="12" customHeight="1">
      <c r="B45" s="52" t="s">
        <v>130</v>
      </c>
      <c r="C45" s="52" t="s">
        <v>233</v>
      </c>
      <c r="D45" s="52" t="s">
        <v>131</v>
      </c>
    </row>
    <row r="47" spans="2:6" ht="12" customHeight="1">
      <c r="B47" s="64" t="s">
        <v>132</v>
      </c>
      <c r="C47" s="64" t="s">
        <v>132</v>
      </c>
      <c r="D47" s="64" t="s">
        <v>34</v>
      </c>
      <c r="F47" s="66"/>
    </row>
    <row r="48" spans="2:6" ht="12" customHeight="1">
      <c r="B48" s="64" t="s">
        <v>133</v>
      </c>
      <c r="C48" s="64" t="s">
        <v>34</v>
      </c>
      <c r="F48" s="67"/>
    </row>
    <row r="49" spans="2:6" ht="12" customHeight="1">
      <c r="B49" s="64" t="s">
        <v>134</v>
      </c>
      <c r="C49" s="64" t="s">
        <v>135</v>
      </c>
      <c r="F49" s="67"/>
    </row>
    <row r="50" spans="2:6" ht="12" customHeight="1">
      <c r="B50" s="64" t="s">
        <v>34</v>
      </c>
      <c r="C50" s="64" t="s">
        <v>52</v>
      </c>
    </row>
    <row r="51" spans="2:6" ht="12" customHeight="1">
      <c r="B51" s="64" t="s">
        <v>136</v>
      </c>
      <c r="C51" s="64" t="s">
        <v>137</v>
      </c>
    </row>
    <row r="52" spans="2:6" ht="12" customHeight="1">
      <c r="B52" s="64" t="s">
        <v>138</v>
      </c>
      <c r="C52" s="64" t="s">
        <v>139</v>
      </c>
    </row>
    <row r="53" spans="2:6" ht="12" customHeight="1">
      <c r="B53" s="64" t="s">
        <v>123</v>
      </c>
    </row>
    <row r="54" spans="2:6" ht="12" customHeight="1">
      <c r="B54" s="64" t="s">
        <v>135</v>
      </c>
    </row>
    <row r="55" spans="2:6" ht="12" customHeight="1">
      <c r="B55" s="64" t="s">
        <v>52</v>
      </c>
    </row>
    <row r="56" spans="2:6" ht="12" customHeight="1">
      <c r="B56" s="64" t="s">
        <v>137</v>
      </c>
    </row>
    <row r="57" spans="2:6" ht="12" customHeight="1">
      <c r="B57" s="64" t="s">
        <v>139</v>
      </c>
    </row>
    <row r="58" spans="2:6" ht="12" customHeight="1">
      <c r="B58" s="64" t="s">
        <v>140</v>
      </c>
      <c r="F58" s="67"/>
    </row>
    <row r="60" spans="2:6" ht="12" customHeight="1">
      <c r="B60" s="52" t="s">
        <v>98</v>
      </c>
      <c r="C60" s="57" t="s">
        <v>99</v>
      </c>
    </row>
    <row r="62" spans="2:6" ht="12" customHeight="1">
      <c r="B62" s="64" t="s">
        <v>101</v>
      </c>
      <c r="C62" s="64" t="s">
        <v>108</v>
      </c>
    </row>
    <row r="63" spans="2:6" ht="12" customHeight="1">
      <c r="B63" s="64" t="s">
        <v>113</v>
      </c>
      <c r="C63" s="64" t="s">
        <v>102</v>
      </c>
    </row>
    <row r="64" spans="2:6" ht="12" customHeight="1">
      <c r="C64" s="64" t="s">
        <v>114</v>
      </c>
    </row>
    <row r="66" spans="2:5" ht="12" customHeight="1">
      <c r="B66" s="52" t="s">
        <v>141</v>
      </c>
      <c r="C66" s="52" t="s">
        <v>142</v>
      </c>
      <c r="D66" s="52" t="s">
        <v>143</v>
      </c>
    </row>
    <row r="68" spans="2:5" ht="12" customHeight="1">
      <c r="B68" s="64" t="s">
        <v>144</v>
      </c>
      <c r="C68" s="64" t="s">
        <v>50</v>
      </c>
      <c r="D68" s="64" t="s">
        <v>145</v>
      </c>
      <c r="E68" s="66"/>
    </row>
    <row r="69" spans="2:5" ht="12" customHeight="1">
      <c r="B69" s="64" t="s">
        <v>146</v>
      </c>
      <c r="C69" s="64" t="s">
        <v>40</v>
      </c>
      <c r="D69" s="64" t="s">
        <v>147</v>
      </c>
      <c r="E69" s="67"/>
    </row>
    <row r="70" spans="2:5" ht="12" customHeight="1">
      <c r="B70" s="64" t="s">
        <v>148</v>
      </c>
      <c r="C70" s="64" t="s">
        <v>149</v>
      </c>
    </row>
    <row r="71" spans="2:5" ht="12" customHeight="1">
      <c r="B71" s="64" t="s">
        <v>150</v>
      </c>
    </row>
    <row r="72" spans="2:5" ht="12" customHeight="1">
      <c r="B72" s="64" t="s">
        <v>151</v>
      </c>
    </row>
    <row r="73" spans="2:5" ht="12" customHeight="1">
      <c r="B73" s="64" t="s">
        <v>152</v>
      </c>
    </row>
    <row r="74" spans="2:5" ht="12" customHeight="1">
      <c r="B74" s="64" t="s">
        <v>153</v>
      </c>
    </row>
    <row r="75" spans="2:5" ht="12" customHeight="1">
      <c r="B75" s="64" t="s">
        <v>154</v>
      </c>
    </row>
    <row r="76" spans="2:5" ht="12" customHeight="1">
      <c r="B76" s="64" t="s">
        <v>155</v>
      </c>
    </row>
    <row r="77" spans="2:5" ht="12" customHeight="1">
      <c r="B77" s="64" t="s">
        <v>156</v>
      </c>
    </row>
  </sheetData>
  <sheetProtection algorithmName="SHA-512" hashValue="gy+OtSEI25aCJgeZEdjJd1Jvi1THtS/WfrF+Et4ixgjsiv8TvVoZMFy9LnYk033grxahGYCoVT8VXspM5s4zdA==" saltValue="K1p2Ic4ir2KH67/miEL00Q==" spinCount="100000" sheet="1" objects="1" scenarios="1"/>
  <phoneticPr fontId="49" type="noConversion"/>
  <dataValidations count="2">
    <dataValidation type="list" allowBlank="1" showInputMessage="1" showErrorMessage="1" sqref="C19:C43" xr:uid="{E964A50F-C260-44D1-8797-033F1C2C34A5}">
      <formula1>$B$62:$B$63</formula1>
    </dataValidation>
    <dataValidation type="list" allowBlank="1" showInputMessage="1" showErrorMessage="1" sqref="D19:D43" xr:uid="{7F47509E-2977-45BA-A641-7943FEF2E627}">
      <formula1>$C$62:$C$64</formula1>
    </dataValidation>
  </dataValidation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1CAD-60B1-42FE-AF2F-27755D09F55A}">
  <sheetPr codeName="Sheet4">
    <tabColor rgb="FFFFC000"/>
  </sheetPr>
  <dimension ref="B2"/>
  <sheetViews>
    <sheetView showGridLines="0" workbookViewId="0">
      <selection activeCell="K48" sqref="K48"/>
    </sheetView>
  </sheetViews>
  <sheetFormatPr defaultColWidth="8.85546875" defaultRowHeight="12"/>
  <cols>
    <col min="1" max="16384" width="8.85546875" style="59"/>
  </cols>
  <sheetData>
    <row r="2" spans="2:2" ht="12.75">
      <c r="B2" s="62" t="s">
        <v>157</v>
      </c>
    </row>
  </sheetData>
  <sheetProtection algorithmName="SHA-512" hashValue="aZ/wKuRp76gWeYcc3mPy27XYrI4vRU1VU8Kx92EbYYI+1BtQHDzwWF9ANYVAxqBrdAyStmU/vYpPmjoe+cC98w==" saltValue="qowLj3DwVieq+Jgki2yrRQ=="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B1:U193"/>
  <sheetViews>
    <sheetView showGridLines="0" topLeftCell="E2" zoomScale="110" zoomScaleNormal="110" workbookViewId="0">
      <selection activeCell="J39" sqref="J39"/>
    </sheetView>
  </sheetViews>
  <sheetFormatPr defaultColWidth="13.140625" defaultRowHeight="11.25"/>
  <cols>
    <col min="1" max="1" width="2.7109375" style="70" customWidth="1"/>
    <col min="2" max="2" width="27.42578125" style="70" customWidth="1"/>
    <col min="3" max="3" width="27.5703125" style="70" bestFit="1" customWidth="1"/>
    <col min="4" max="5" width="32.140625" style="70" customWidth="1"/>
    <col min="6" max="6" width="21.42578125" style="70" customWidth="1"/>
    <col min="7" max="7" width="27.42578125" style="70" bestFit="1" customWidth="1"/>
    <col min="8" max="9" width="19.42578125" style="70" customWidth="1"/>
    <col min="10" max="10" width="18" style="100" customWidth="1"/>
    <col min="11" max="11" width="15.140625" style="100" customWidth="1"/>
    <col min="12" max="12" width="5.140625" style="70" bestFit="1" customWidth="1"/>
    <col min="13" max="13" width="5.42578125" style="70" customWidth="1"/>
    <col min="14" max="21" width="9.140625" style="70" customWidth="1"/>
    <col min="22" max="16384" width="13.140625" style="70"/>
  </cols>
  <sheetData>
    <row r="1" spans="2:21" hidden="1"/>
    <row r="2" spans="2:21" ht="15.75">
      <c r="B2" s="71" t="str">
        <f ca="1">MID(CELL("filename",A1),FIND("]",CELL("filename",A1))+1,255)</f>
        <v>Target Revenue</v>
      </c>
      <c r="C2" s="71"/>
    </row>
    <row r="3" spans="2:21">
      <c r="B3" s="95"/>
      <c r="C3" s="95"/>
      <c r="D3" s="73"/>
      <c r="E3" s="73"/>
      <c r="F3" s="73"/>
      <c r="G3" s="73"/>
      <c r="H3" s="96"/>
      <c r="I3" s="96"/>
      <c r="J3" s="73"/>
      <c r="K3" s="96"/>
      <c r="L3" s="96"/>
      <c r="M3" s="96"/>
      <c r="N3" s="96"/>
      <c r="O3" s="96"/>
      <c r="P3" s="96"/>
      <c r="Q3" s="96"/>
      <c r="R3" s="96"/>
      <c r="S3" s="96"/>
      <c r="T3" s="96"/>
      <c r="U3" s="96"/>
    </row>
    <row r="4" spans="2:21">
      <c r="B4" s="95"/>
      <c r="C4" s="95"/>
      <c r="D4" s="73"/>
      <c r="E4" s="73"/>
      <c r="F4" s="73"/>
      <c r="G4" s="73"/>
      <c r="H4" s="96"/>
      <c r="I4" s="96"/>
      <c r="J4" s="73"/>
      <c r="K4" s="96"/>
      <c r="L4" s="96"/>
      <c r="M4" s="96"/>
      <c r="N4" s="96"/>
      <c r="O4" s="96"/>
      <c r="P4" s="96"/>
      <c r="Q4" s="96"/>
      <c r="R4" s="96"/>
      <c r="S4" s="96"/>
      <c r="T4" s="96"/>
      <c r="U4" s="96"/>
    </row>
    <row r="5" spans="2:21">
      <c r="B5" s="95"/>
      <c r="C5" s="95"/>
      <c r="D5" s="73"/>
      <c r="E5" s="73"/>
      <c r="F5" s="73"/>
      <c r="G5" s="73"/>
      <c r="H5" s="96"/>
      <c r="I5" s="96"/>
      <c r="J5" s="73"/>
      <c r="K5" s="96"/>
      <c r="L5" s="96"/>
      <c r="M5" s="96"/>
      <c r="N5" s="96"/>
      <c r="O5" s="96"/>
      <c r="P5" s="96"/>
      <c r="Q5" s="96"/>
      <c r="R5" s="96"/>
      <c r="S5" s="96"/>
      <c r="T5" s="96"/>
      <c r="U5" s="96"/>
    </row>
    <row r="6" spans="2:21">
      <c r="H6" s="100"/>
      <c r="I6" s="100"/>
      <c r="J6" s="70"/>
    </row>
    <row r="7" spans="2:21">
      <c r="H7" s="126"/>
      <c r="I7" s="126"/>
      <c r="J7" s="101"/>
      <c r="K7" s="126"/>
    </row>
    <row r="8" spans="2:21">
      <c r="B8" s="97" t="s">
        <v>60</v>
      </c>
      <c r="C8" s="97"/>
      <c r="D8" s="98"/>
      <c r="E8" s="98"/>
      <c r="F8" s="99"/>
      <c r="G8" s="99"/>
      <c r="H8" s="77"/>
      <c r="I8" s="77"/>
      <c r="J8" s="98"/>
      <c r="K8" s="77"/>
      <c r="L8" s="77"/>
      <c r="M8" s="77"/>
      <c r="N8" s="77"/>
      <c r="O8" s="77"/>
      <c r="P8" s="77"/>
      <c r="Q8" s="77"/>
      <c r="R8" s="77"/>
      <c r="S8" s="77"/>
      <c r="T8" s="77"/>
      <c r="U8" s="77"/>
    </row>
    <row r="9" spans="2:21">
      <c r="H9" s="100"/>
      <c r="I9" s="100"/>
      <c r="J9" s="70"/>
    </row>
    <row r="10" spans="2:21">
      <c r="B10" s="70" t="s">
        <v>158</v>
      </c>
      <c r="H10" s="126"/>
      <c r="I10" s="126"/>
      <c r="J10" s="101"/>
      <c r="K10" s="126"/>
    </row>
    <row r="11" spans="2:21">
      <c r="B11" s="70" t="s">
        <v>159</v>
      </c>
      <c r="H11" s="126"/>
      <c r="I11" s="126"/>
      <c r="J11" s="101"/>
      <c r="K11" s="126"/>
    </row>
    <row r="12" spans="2:21">
      <c r="B12" s="70" t="s">
        <v>160</v>
      </c>
      <c r="H12" s="100"/>
      <c r="I12" s="100"/>
      <c r="J12" s="70"/>
    </row>
    <row r="13" spans="2:21">
      <c r="B13" s="70" t="s">
        <v>236</v>
      </c>
      <c r="H13" s="100"/>
      <c r="I13" s="100"/>
      <c r="J13" s="70"/>
    </row>
    <row r="14" spans="2:21">
      <c r="H14" s="100"/>
      <c r="I14" s="100"/>
      <c r="J14" s="70"/>
    </row>
    <row r="15" spans="2:21">
      <c r="B15" s="97" t="str">
        <f>'Name labels'!B17</f>
        <v>Target Revenue Components</v>
      </c>
      <c r="C15" s="97"/>
      <c r="D15" s="95" t="str">
        <f>'Name labels'!B45</f>
        <v>Pricing Area Allocators</v>
      </c>
      <c r="E15" s="95" t="str">
        <f>'Name labels'!C45</f>
        <v>Load Group Allocators</v>
      </c>
      <c r="F15" s="97" t="str">
        <f>'Name labels'!B60</f>
        <v>Distribution / Passthrough</v>
      </c>
      <c r="G15" s="97" t="str">
        <f>'Name labels'!C60</f>
        <v>Cost type</v>
      </c>
      <c r="H15" s="127" t="str">
        <f>CONCATENATE('Name labels'!D10," inputs ($000's)")</f>
        <v>RY22 inputs ($000's)</v>
      </c>
      <c r="I15" s="127" t="str">
        <f>CONCATENATE('Name labels'!E10," inputs ($000's)")</f>
        <v>RY23 inputs ($000's)</v>
      </c>
      <c r="J15" s="77" t="s">
        <v>161</v>
      </c>
      <c r="K15" s="235" t="s">
        <v>162</v>
      </c>
      <c r="L15" s="235"/>
      <c r="M15" s="235"/>
      <c r="N15" s="235"/>
      <c r="O15" s="235"/>
      <c r="P15" s="235"/>
      <c r="Q15" s="235"/>
      <c r="R15" s="235"/>
      <c r="S15" s="235"/>
      <c r="T15" s="235"/>
      <c r="U15" s="235"/>
    </row>
    <row r="16" spans="2:21">
      <c r="J16" s="70"/>
    </row>
    <row r="17" spans="2:21" ht="12" customHeight="1">
      <c r="B17" s="128" t="str">
        <f>'Name labels'!B19</f>
        <v>Service interruptions and emergencies</v>
      </c>
      <c r="C17" s="129" t="str">
        <f>CONCATENATE("(50% allocated by ",D17,")")</f>
        <v>(50% allocated by Total Circuit Length)</v>
      </c>
      <c r="D17" s="130" t="s">
        <v>133</v>
      </c>
      <c r="E17" s="130" t="s">
        <v>34</v>
      </c>
      <c r="F17" s="129" t="str">
        <f>VLOOKUP(B17,'Name labels'!$B$19:$D$43,2,FALSE)</f>
        <v>Distribution</v>
      </c>
      <c r="G17" s="129" t="str">
        <f>VLOOKUP(B17,'Name labels'!$B$19:$D$43,3,FALSE)</f>
        <v>Operational costs</v>
      </c>
      <c r="H17" s="131">
        <v>2389.0365000000002</v>
      </c>
      <c r="I17" s="131">
        <v>2406.482</v>
      </c>
      <c r="J17" s="132">
        <f ca="1">VLOOKUP(G17,B$51:D$55,3,FALSE)*I17</f>
        <v>2002.5516797593034</v>
      </c>
      <c r="K17" s="236" t="s">
        <v>163</v>
      </c>
      <c r="L17" s="237"/>
      <c r="M17" s="237"/>
      <c r="N17" s="237"/>
      <c r="O17" s="237"/>
      <c r="P17" s="237"/>
      <c r="Q17" s="237"/>
      <c r="R17" s="237"/>
      <c r="S17" s="237"/>
      <c r="T17" s="237"/>
      <c r="U17" s="238"/>
    </row>
    <row r="18" spans="2:21" ht="12" customHeight="1">
      <c r="B18" s="133" t="str">
        <f>'Name labels'!B19</f>
        <v>Service interruptions and emergencies</v>
      </c>
      <c r="C18" s="134" t="str">
        <f>CONCATENATE("(50% allocated by ",D18,")")</f>
        <v>(50% allocated by ICP Count)</v>
      </c>
      <c r="D18" s="130" t="s">
        <v>132</v>
      </c>
      <c r="E18" s="130" t="s">
        <v>132</v>
      </c>
      <c r="F18" s="134" t="str">
        <f>VLOOKUP(B18,'Name labels'!$B$19:$D$43,2,FALSE)</f>
        <v>Distribution</v>
      </c>
      <c r="G18" s="134" t="str">
        <f>VLOOKUP(B18,'Name labels'!$B$19:$D$43,3,FALSE)</f>
        <v>Operational costs</v>
      </c>
      <c r="H18" s="131">
        <v>2389.0365000000002</v>
      </c>
      <c r="I18" s="131">
        <v>2406.482</v>
      </c>
      <c r="J18" s="135">
        <f t="shared" ref="J18:J41" ca="1" si="0">VLOOKUP(G18,B$51:D$55,3,FALSE)*I18</f>
        <v>2002.5516797593034</v>
      </c>
      <c r="K18" s="239"/>
      <c r="L18" s="240"/>
      <c r="M18" s="240"/>
      <c r="N18" s="240"/>
      <c r="O18" s="240"/>
      <c r="P18" s="240"/>
      <c r="Q18" s="240"/>
      <c r="R18" s="240"/>
      <c r="S18" s="240"/>
      <c r="T18" s="240"/>
      <c r="U18" s="241"/>
    </row>
    <row r="19" spans="2:21" ht="12" customHeight="1">
      <c r="B19" s="133" t="str">
        <f>'Name labels'!B20</f>
        <v>Vegetation management</v>
      </c>
      <c r="C19" s="134"/>
      <c r="D19" s="130" t="s">
        <v>134</v>
      </c>
      <c r="E19" s="130" t="s">
        <v>34</v>
      </c>
      <c r="F19" s="134" t="str">
        <f>VLOOKUP(B19,'Name labels'!$B$19:$D$43,2,FALSE)</f>
        <v>Distribution</v>
      </c>
      <c r="G19" s="134" t="str">
        <f>VLOOKUP(B19,'Name labels'!$B$19:$D$43,3,FALSE)</f>
        <v>Operational costs</v>
      </c>
      <c r="H19" s="131">
        <v>5576.9279999999999</v>
      </c>
      <c r="I19" s="131">
        <v>5255.951</v>
      </c>
      <c r="J19" s="135">
        <f t="shared" ca="1" si="0"/>
        <v>4373.7345651380692</v>
      </c>
      <c r="K19" s="239"/>
      <c r="L19" s="240"/>
      <c r="M19" s="240"/>
      <c r="N19" s="240"/>
      <c r="O19" s="240"/>
      <c r="P19" s="240"/>
      <c r="Q19" s="240"/>
      <c r="R19" s="240"/>
      <c r="S19" s="240"/>
      <c r="T19" s="240"/>
      <c r="U19" s="241"/>
    </row>
    <row r="20" spans="2:21" ht="12" customHeight="1">
      <c r="B20" s="133" t="str">
        <f>'Name labels'!B21</f>
        <v>Routine and corrective maintenance and inspection</v>
      </c>
      <c r="C20" s="134"/>
      <c r="D20" s="130" t="s">
        <v>133</v>
      </c>
      <c r="E20" s="130" t="s">
        <v>34</v>
      </c>
      <c r="F20" s="134" t="str">
        <f>VLOOKUP(B20,'Name labels'!$B$19:$D$43,2,FALSE)</f>
        <v>Distribution</v>
      </c>
      <c r="G20" s="134" t="str">
        <f>VLOOKUP(B20,'Name labels'!$B$19:$D$43,3,FALSE)</f>
        <v>Operational costs</v>
      </c>
      <c r="H20" s="131">
        <v>10536.993</v>
      </c>
      <c r="I20" s="131">
        <v>10117.34</v>
      </c>
      <c r="J20" s="135">
        <f t="shared" ca="1" si="0"/>
        <v>8419.1347417915422</v>
      </c>
      <c r="K20" s="239"/>
      <c r="L20" s="240"/>
      <c r="M20" s="240"/>
      <c r="N20" s="240"/>
      <c r="O20" s="240"/>
      <c r="P20" s="240"/>
      <c r="Q20" s="240"/>
      <c r="R20" s="240"/>
      <c r="S20" s="240"/>
      <c r="T20" s="240"/>
      <c r="U20" s="241"/>
    </row>
    <row r="21" spans="2:21" ht="12" customHeight="1">
      <c r="B21" s="133" t="str">
        <f>'Name labels'!B22</f>
        <v>System operations and network support</v>
      </c>
      <c r="C21" s="134"/>
      <c r="D21" s="130" t="s">
        <v>132</v>
      </c>
      <c r="E21" s="130" t="s">
        <v>132</v>
      </c>
      <c r="F21" s="134" t="str">
        <f>VLOOKUP(B21,'Name labels'!$B$19:$D$43,2,FALSE)</f>
        <v>Distribution</v>
      </c>
      <c r="G21" s="134" t="str">
        <f>VLOOKUP(B21,'Name labels'!$B$19:$D$43,3,FALSE)</f>
        <v>Operational costs</v>
      </c>
      <c r="H21" s="131">
        <v>16737.323</v>
      </c>
      <c r="I21" s="131">
        <v>16009.319</v>
      </c>
      <c r="J21" s="135">
        <f t="shared" ca="1" si="0"/>
        <v>13322.139394872902</v>
      </c>
      <c r="K21" s="239"/>
      <c r="L21" s="240"/>
      <c r="M21" s="240"/>
      <c r="N21" s="240"/>
      <c r="O21" s="240"/>
      <c r="P21" s="240"/>
      <c r="Q21" s="240"/>
      <c r="R21" s="240"/>
      <c r="S21" s="240"/>
      <c r="T21" s="240"/>
      <c r="U21" s="241"/>
    </row>
    <row r="22" spans="2:21" ht="12" customHeight="1">
      <c r="B22" s="136" t="str">
        <f>'Name labels'!B23</f>
        <v>Business support</v>
      </c>
      <c r="C22" s="137"/>
      <c r="D22" s="130" t="s">
        <v>132</v>
      </c>
      <c r="E22" s="130" t="s">
        <v>132</v>
      </c>
      <c r="F22" s="137" t="str">
        <f>VLOOKUP(B22,'Name labels'!$B$19:$D$43,2,FALSE)</f>
        <v>Distribution</v>
      </c>
      <c r="G22" s="137" t="str">
        <f>VLOOKUP(B22,'Name labels'!$B$19:$D$43,3,FALSE)</f>
        <v>Operational costs</v>
      </c>
      <c r="H22" s="131">
        <v>15784.379000000001</v>
      </c>
      <c r="I22" s="131">
        <v>15900.848</v>
      </c>
      <c r="J22" s="138">
        <f t="shared" ca="1" si="0"/>
        <v>13231.875356639843</v>
      </c>
      <c r="K22" s="242"/>
      <c r="L22" s="243"/>
      <c r="M22" s="243"/>
      <c r="N22" s="243"/>
      <c r="O22" s="243"/>
      <c r="P22" s="243"/>
      <c r="Q22" s="243"/>
      <c r="R22" s="243"/>
      <c r="S22" s="243"/>
      <c r="T22" s="243"/>
      <c r="U22" s="244"/>
    </row>
    <row r="23" spans="2:21">
      <c r="B23" s="128" t="str">
        <f>'Name labels'!B24</f>
        <v>Depreciation</v>
      </c>
      <c r="C23" s="129"/>
      <c r="D23" s="130" t="s">
        <v>139</v>
      </c>
      <c r="E23" s="130" t="s">
        <v>139</v>
      </c>
      <c r="F23" s="129" t="str">
        <f>VLOOKUP(B23,'Name labels'!$B$19:$D$43,2,FALSE)</f>
        <v>Distribution</v>
      </c>
      <c r="G23" s="129" t="str">
        <f>VLOOKUP(B23,'Name labels'!$B$19:$D$43,3,FALSE)</f>
        <v>Capital related costs</v>
      </c>
      <c r="H23" s="131">
        <v>20692.197</v>
      </c>
      <c r="I23" s="131">
        <v>20186.475999999999</v>
      </c>
      <c r="J23" s="139">
        <f t="shared" ca="1" si="0"/>
        <v>16798.156571385476</v>
      </c>
      <c r="K23" s="245" t="s">
        <v>164</v>
      </c>
      <c r="L23" s="246"/>
      <c r="M23" s="246"/>
      <c r="N23" s="246"/>
      <c r="O23" s="246"/>
      <c r="P23" s="246"/>
      <c r="Q23" s="246"/>
      <c r="R23" s="246"/>
      <c r="S23" s="246"/>
      <c r="T23" s="246"/>
      <c r="U23" s="247"/>
    </row>
    <row r="24" spans="2:21">
      <c r="B24" s="133" t="str">
        <f>'Name labels'!B25</f>
        <v>Asset revaluations and other regulatory revenue</v>
      </c>
      <c r="C24" s="134"/>
      <c r="D24" s="130" t="s">
        <v>137</v>
      </c>
      <c r="E24" s="130" t="s">
        <v>137</v>
      </c>
      <c r="F24" s="134" t="str">
        <f>VLOOKUP(B24,'Name labels'!$B$19:$D$43,2,FALSE)</f>
        <v>Distribution</v>
      </c>
      <c r="G24" s="134" t="str">
        <f>VLOOKUP(B24,'Name labels'!$B$19:$D$43,3,FALSE)</f>
        <v>Capital related costs</v>
      </c>
      <c r="H24" s="131">
        <v>-11143.138000000001</v>
      </c>
      <c r="I24" s="131">
        <v>-12497.677</v>
      </c>
      <c r="J24" s="140">
        <f t="shared" ca="1" si="0"/>
        <v>-10399.929884968686</v>
      </c>
      <c r="K24" s="248"/>
      <c r="L24" s="249"/>
      <c r="M24" s="249"/>
      <c r="N24" s="249"/>
      <c r="O24" s="249"/>
      <c r="P24" s="249"/>
      <c r="Q24" s="249"/>
      <c r="R24" s="249"/>
      <c r="S24" s="249"/>
      <c r="T24" s="249"/>
      <c r="U24" s="250"/>
    </row>
    <row r="25" spans="2:21">
      <c r="B25" s="136" t="str">
        <f>'Name labels'!B26</f>
        <v>Tax</v>
      </c>
      <c r="C25" s="137"/>
      <c r="D25" s="130" t="s">
        <v>137</v>
      </c>
      <c r="E25" s="130" t="s">
        <v>137</v>
      </c>
      <c r="F25" s="137" t="str">
        <f>VLOOKUP(B25,'Name labels'!$B$19:$D$43,2,FALSE)</f>
        <v>Distribution</v>
      </c>
      <c r="G25" s="137" t="str">
        <f>VLOOKUP(B25,'Name labels'!$B$19:$D$43,3,FALSE)</f>
        <v>Capital related costs</v>
      </c>
      <c r="H25" s="131">
        <v>5303.9719999999998</v>
      </c>
      <c r="I25" s="131">
        <v>5681.5559999999996</v>
      </c>
      <c r="J25" s="141">
        <f t="shared" ca="1" si="0"/>
        <v>4727.9013561898855</v>
      </c>
      <c r="K25" s="251"/>
      <c r="L25" s="252"/>
      <c r="M25" s="252"/>
      <c r="N25" s="252"/>
      <c r="O25" s="252"/>
      <c r="P25" s="252"/>
      <c r="Q25" s="252"/>
      <c r="R25" s="252"/>
      <c r="S25" s="252"/>
      <c r="T25" s="252"/>
      <c r="U25" s="253"/>
    </row>
    <row r="26" spans="2:21">
      <c r="B26" s="142" t="str">
        <f>'Name labels'!B27</f>
        <v>Return on capital</v>
      </c>
      <c r="C26" s="143"/>
      <c r="D26" s="130" t="s">
        <v>137</v>
      </c>
      <c r="E26" s="130" t="s">
        <v>137</v>
      </c>
      <c r="F26" s="143" t="str">
        <f>VLOOKUP(B26,'Name labels'!$B$19:$D$43,2,FALSE)</f>
        <v>Distribution</v>
      </c>
      <c r="G26" s="143" t="str">
        <f>VLOOKUP(B26,'Name labels'!$B$19:$D$43,3,FALSE)</f>
        <v>Capital related costs</v>
      </c>
      <c r="H26" s="144">
        <v>35396.273000000001</v>
      </c>
      <c r="I26" s="144">
        <v>34193.222999999998</v>
      </c>
      <c r="J26" s="145">
        <f t="shared" ca="1" si="0"/>
        <v>28453.85760418505</v>
      </c>
      <c r="K26" s="232" t="s">
        <v>165</v>
      </c>
      <c r="L26" s="233"/>
      <c r="M26" s="233"/>
      <c r="N26" s="233"/>
      <c r="O26" s="233"/>
      <c r="P26" s="233"/>
      <c r="Q26" s="233"/>
      <c r="R26" s="233"/>
      <c r="S26" s="233"/>
      <c r="T26" s="233"/>
      <c r="U26" s="234"/>
    </row>
    <row r="27" spans="2:21" ht="11.25" customHeight="1">
      <c r="B27" s="128" t="str">
        <f>'Name labels'!B28</f>
        <v>Local Authority rates</v>
      </c>
      <c r="C27" s="129"/>
      <c r="D27" s="130" t="s">
        <v>137</v>
      </c>
      <c r="E27" s="130" t="s">
        <v>137</v>
      </c>
      <c r="F27" s="129" t="str">
        <f>VLOOKUP(B27,'Name labels'!$B$19:$D$43,2,FALSE)</f>
        <v>Passthrough</v>
      </c>
      <c r="G27" s="129" t="str">
        <f>VLOOKUP(B27,'Name labels'!$B$19:$D$43,3,FALSE)</f>
        <v>Passthrough and recoverable costs</v>
      </c>
      <c r="H27" s="131">
        <v>994.85699999999997</v>
      </c>
      <c r="I27" s="131">
        <v>1135.098</v>
      </c>
      <c r="J27" s="132">
        <f t="shared" si="0"/>
        <v>1135.098</v>
      </c>
      <c r="K27" s="245" t="s">
        <v>166</v>
      </c>
      <c r="L27" s="246"/>
      <c r="M27" s="246"/>
      <c r="N27" s="246"/>
      <c r="O27" s="246"/>
      <c r="P27" s="246"/>
      <c r="Q27" s="246"/>
      <c r="R27" s="246"/>
      <c r="S27" s="246"/>
      <c r="T27" s="246"/>
      <c r="U27" s="247"/>
    </row>
    <row r="28" spans="2:21">
      <c r="B28" s="133" t="str">
        <f>'Name labels'!B29</f>
        <v>Commerce Act levies</v>
      </c>
      <c r="C28" s="134"/>
      <c r="D28" s="130" t="s">
        <v>137</v>
      </c>
      <c r="E28" s="130" t="s">
        <v>137</v>
      </c>
      <c r="F28" s="134" t="str">
        <f>VLOOKUP(B28,'Name labels'!$B$19:$D$43,2,FALSE)</f>
        <v>Passthrough</v>
      </c>
      <c r="G28" s="134" t="str">
        <f>VLOOKUP(B28,'Name labels'!$B$19:$D$43,3,FALSE)</f>
        <v>Passthrough and recoverable costs</v>
      </c>
      <c r="H28" s="131">
        <v>369.58</v>
      </c>
      <c r="I28" s="131">
        <v>284.44299999999998</v>
      </c>
      <c r="J28" s="135">
        <f t="shared" si="0"/>
        <v>284.44299999999998</v>
      </c>
      <c r="K28" s="248"/>
      <c r="L28" s="249"/>
      <c r="M28" s="249"/>
      <c r="N28" s="249"/>
      <c r="O28" s="249"/>
      <c r="P28" s="249"/>
      <c r="Q28" s="249"/>
      <c r="R28" s="249"/>
      <c r="S28" s="249"/>
      <c r="T28" s="249"/>
      <c r="U28" s="250"/>
    </row>
    <row r="29" spans="2:21">
      <c r="B29" s="133" t="str">
        <f>'Name labels'!B30</f>
        <v>Electricity Authority levies</v>
      </c>
      <c r="C29" s="134" t="str">
        <f>CONCATENATE("(80% allocated by ",D29,")")</f>
        <v>(80% allocated by MWh)</v>
      </c>
      <c r="D29" s="130" t="s">
        <v>52</v>
      </c>
      <c r="E29" s="130" t="s">
        <v>52</v>
      </c>
      <c r="F29" s="134" t="str">
        <f>VLOOKUP(B29,'Name labels'!$B$19:$D$43,2,FALSE)</f>
        <v>Passthrough</v>
      </c>
      <c r="G29" s="134" t="str">
        <f>VLOOKUP(B29,'Name labels'!$B$19:$D$43,3,FALSE)</f>
        <v>Passthrough and recoverable costs</v>
      </c>
      <c r="H29" s="131">
        <v>218.46199999999999</v>
      </c>
      <c r="I29" s="131">
        <v>227.0848</v>
      </c>
      <c r="J29" s="135">
        <f t="shared" si="0"/>
        <v>227.0848</v>
      </c>
      <c r="K29" s="248"/>
      <c r="L29" s="249"/>
      <c r="M29" s="249"/>
      <c r="N29" s="249"/>
      <c r="O29" s="249"/>
      <c r="P29" s="249"/>
      <c r="Q29" s="249"/>
      <c r="R29" s="249"/>
      <c r="S29" s="249"/>
      <c r="T29" s="249"/>
      <c r="U29" s="250"/>
    </row>
    <row r="30" spans="2:21">
      <c r="B30" s="133" t="str">
        <f>'Name labels'!B30</f>
        <v>Electricity Authority levies</v>
      </c>
      <c r="C30" s="134" t="str">
        <f>CONCATENATE("(20% allocated by ",D30,")")</f>
        <v>(20% allocated by ICP Count)</v>
      </c>
      <c r="D30" s="130" t="s">
        <v>132</v>
      </c>
      <c r="E30" s="130" t="s">
        <v>132</v>
      </c>
      <c r="F30" s="134" t="str">
        <f>VLOOKUP(B30,'Name labels'!$B$19:$D$43,2,FALSE)</f>
        <v>Passthrough</v>
      </c>
      <c r="G30" s="134" t="str">
        <f>VLOOKUP(B30,'Name labels'!$B$19:$D$43,3,FALSE)</f>
        <v>Passthrough and recoverable costs</v>
      </c>
      <c r="H30" s="131">
        <v>72.120999999999995</v>
      </c>
      <c r="I30" s="131">
        <v>56.771199999999993</v>
      </c>
      <c r="J30" s="135">
        <f t="shared" si="0"/>
        <v>56.771199999999993</v>
      </c>
      <c r="K30" s="248"/>
      <c r="L30" s="249"/>
      <c r="M30" s="249"/>
      <c r="N30" s="249"/>
      <c r="O30" s="249"/>
      <c r="P30" s="249"/>
      <c r="Q30" s="249"/>
      <c r="R30" s="249"/>
      <c r="S30" s="249"/>
      <c r="T30" s="249"/>
      <c r="U30" s="250"/>
    </row>
    <row r="31" spans="2:21">
      <c r="B31" s="133" t="str">
        <f>'Name labels'!B31</f>
        <v>Utilities Disputes levies</v>
      </c>
      <c r="C31" s="134"/>
      <c r="D31" s="130" t="s">
        <v>132</v>
      </c>
      <c r="E31" s="130" t="s">
        <v>132</v>
      </c>
      <c r="F31" s="134" t="str">
        <f>VLOOKUP(B31,'Name labels'!$B$19:$D$43,2,FALSE)</f>
        <v>Passthrough</v>
      </c>
      <c r="G31" s="134" t="str">
        <f>VLOOKUP(B31,'Name labels'!$B$19:$D$43,3,FALSE)</f>
        <v>Passthrough and recoverable costs</v>
      </c>
      <c r="H31" s="131">
        <v>61.722000000000001</v>
      </c>
      <c r="I31" s="131">
        <v>73.180999999999997</v>
      </c>
      <c r="J31" s="135">
        <f t="shared" si="0"/>
        <v>73.180999999999997</v>
      </c>
      <c r="K31" s="248"/>
      <c r="L31" s="249"/>
      <c r="M31" s="249"/>
      <c r="N31" s="249"/>
      <c r="O31" s="249"/>
      <c r="P31" s="249"/>
      <c r="Q31" s="249"/>
      <c r="R31" s="249"/>
      <c r="S31" s="249"/>
      <c r="T31" s="249"/>
      <c r="U31" s="250"/>
    </row>
    <row r="32" spans="2:21">
      <c r="B32" s="133" t="str">
        <f>'Name labels'!B32</f>
        <v>Opex Incentive Amount</v>
      </c>
      <c r="C32" s="134"/>
      <c r="D32" s="130" t="s">
        <v>135</v>
      </c>
      <c r="E32" s="130" t="s">
        <v>135</v>
      </c>
      <c r="F32" s="134" t="str">
        <f>VLOOKUP(B32,'Name labels'!$B$19:$D$43,2,FALSE)</f>
        <v>Passthrough</v>
      </c>
      <c r="G32" s="134" t="str">
        <f>VLOOKUP(B32,'Name labels'!$B$19:$D$43,3,FALSE)</f>
        <v>Operational costs</v>
      </c>
      <c r="H32" s="131">
        <v>-15363.403120000003</v>
      </c>
      <c r="I32" s="131">
        <v>13000.602000000001</v>
      </c>
      <c r="J32" s="135">
        <f t="shared" ca="1" si="0"/>
        <v>10818.438439590307</v>
      </c>
      <c r="K32" s="248"/>
      <c r="L32" s="249"/>
      <c r="M32" s="249"/>
      <c r="N32" s="249"/>
      <c r="O32" s="249"/>
      <c r="P32" s="249"/>
      <c r="Q32" s="249"/>
      <c r="R32" s="249"/>
      <c r="S32" s="249"/>
      <c r="T32" s="249"/>
      <c r="U32" s="250"/>
    </row>
    <row r="33" spans="2:21">
      <c r="B33" s="133" t="str">
        <f>'Name labels'!B33</f>
        <v>Capex Incentive Amount</v>
      </c>
      <c r="C33" s="134"/>
      <c r="D33" s="130" t="s">
        <v>137</v>
      </c>
      <c r="E33" s="130" t="s">
        <v>137</v>
      </c>
      <c r="F33" s="134" t="str">
        <f>VLOOKUP(B33,'Name labels'!$B$19:$D$43,2,FALSE)</f>
        <v>Passthrough</v>
      </c>
      <c r="G33" s="134" t="str">
        <f>VLOOKUP(B33,'Name labels'!$B$19:$D$43,3,FALSE)</f>
        <v>Capital related costs</v>
      </c>
      <c r="H33" s="131">
        <v>-1450.5889999999999</v>
      </c>
      <c r="I33" s="131">
        <v>-1492.9459999999999</v>
      </c>
      <c r="J33" s="135">
        <f t="shared" ca="1" si="0"/>
        <v>-1242.3535767522603</v>
      </c>
      <c r="K33" s="248"/>
      <c r="L33" s="249"/>
      <c r="M33" s="249"/>
      <c r="N33" s="249"/>
      <c r="O33" s="249"/>
      <c r="P33" s="249"/>
      <c r="Q33" s="249"/>
      <c r="R33" s="249"/>
      <c r="S33" s="249"/>
      <c r="T33" s="249"/>
      <c r="U33" s="250"/>
    </row>
    <row r="34" spans="2:21">
      <c r="B34" s="133" t="str">
        <f>'Name labels'!B$43</f>
        <v>Transmission costs and ACOT</v>
      </c>
      <c r="C34" s="134" t="str">
        <f>'Name labels'!B34</f>
        <v>Transpower  - connection costs</v>
      </c>
      <c r="D34" s="130" t="s">
        <v>136</v>
      </c>
      <c r="E34" s="130" t="s">
        <v>34</v>
      </c>
      <c r="F34" s="134" t="str">
        <f>VLOOKUP(C34,'Name labels'!$B$19:$D$43,2,FALSE)</f>
        <v>Passthrough</v>
      </c>
      <c r="G34" s="134" t="str">
        <f>VLOOKUP(C34,'Name labels'!$B$19:$D$43,3,FALSE)</f>
        <v>Passthrough and recoverable costs</v>
      </c>
      <c r="H34" s="131">
        <v>4307.6040000000003</v>
      </c>
      <c r="I34" s="131">
        <v>4440.1390000000001</v>
      </c>
      <c r="J34" s="135">
        <f t="shared" si="0"/>
        <v>4440.1390000000001</v>
      </c>
      <c r="K34" s="248"/>
      <c r="L34" s="249"/>
      <c r="M34" s="249"/>
      <c r="N34" s="249"/>
      <c r="O34" s="249"/>
      <c r="P34" s="249"/>
      <c r="Q34" s="249"/>
      <c r="R34" s="249"/>
      <c r="S34" s="249"/>
      <c r="T34" s="249"/>
      <c r="U34" s="250"/>
    </row>
    <row r="35" spans="2:21">
      <c r="B35" s="133" t="str">
        <f>'Name labels'!B$43</f>
        <v>Transmission costs and ACOT</v>
      </c>
      <c r="C35" s="134" t="str">
        <f>'Name labels'!B35</f>
        <v>Transpower - interconnection costs</v>
      </c>
      <c r="D35" s="130" t="s">
        <v>136</v>
      </c>
      <c r="E35" s="130" t="s">
        <v>34</v>
      </c>
      <c r="F35" s="134" t="str">
        <f>VLOOKUP(C35,'Name labels'!$B$19:$D$43,2,FALSE)</f>
        <v>Passthrough</v>
      </c>
      <c r="G35" s="134" t="str">
        <f>VLOOKUP(C35,'Name labels'!$B$19:$D$43,3,FALSE)</f>
        <v>Passthrough and recoverable costs</v>
      </c>
      <c r="H35" s="131">
        <v>17540.015640000001</v>
      </c>
      <c r="I35" s="131">
        <v>18220.165000000001</v>
      </c>
      <c r="J35" s="135">
        <f t="shared" si="0"/>
        <v>18220.165000000001</v>
      </c>
      <c r="K35" s="248"/>
      <c r="L35" s="249"/>
      <c r="M35" s="249"/>
      <c r="N35" s="249"/>
      <c r="O35" s="249"/>
      <c r="P35" s="249"/>
      <c r="Q35" s="249"/>
      <c r="R35" s="249"/>
      <c r="S35" s="249"/>
      <c r="T35" s="249"/>
      <c r="U35" s="250"/>
    </row>
    <row r="36" spans="2:21">
      <c r="B36" s="133" t="str">
        <f>'Name labels'!B$43</f>
        <v>Transmission costs and ACOT</v>
      </c>
      <c r="C36" s="134" t="str">
        <f>'Name labels'!B36</f>
        <v>Transpower - new investment contract</v>
      </c>
      <c r="D36" s="130" t="s">
        <v>138</v>
      </c>
      <c r="E36" s="130" t="s">
        <v>34</v>
      </c>
      <c r="F36" s="134" t="str">
        <f>VLOOKUP(C36,'Name labels'!$B$19:$D$43,2,FALSE)</f>
        <v>Passthrough</v>
      </c>
      <c r="G36" s="134" t="str">
        <f>VLOOKUP(C36,'Name labels'!$B$19:$D$43,3,FALSE)</f>
        <v>Passthrough and recoverable costs</v>
      </c>
      <c r="H36" s="131">
        <v>423.52452</v>
      </c>
      <c r="I36" s="131">
        <v>520.48299999999995</v>
      </c>
      <c r="J36" s="135">
        <f t="shared" si="0"/>
        <v>520.48299999999995</v>
      </c>
      <c r="K36" s="248"/>
      <c r="L36" s="249"/>
      <c r="M36" s="249"/>
      <c r="N36" s="249"/>
      <c r="O36" s="249"/>
      <c r="P36" s="249"/>
      <c r="Q36" s="249"/>
      <c r="R36" s="249"/>
      <c r="S36" s="249"/>
      <c r="T36" s="249"/>
      <c r="U36" s="250"/>
    </row>
    <row r="37" spans="2:21">
      <c r="B37" s="133" t="str">
        <f>'Name labels'!B$43</f>
        <v>Transmission costs and ACOT</v>
      </c>
      <c r="C37" s="134" t="str">
        <f>'Name labels'!B37</f>
        <v>Distributed Generation Allowance</v>
      </c>
      <c r="D37" s="130" t="s">
        <v>123</v>
      </c>
      <c r="E37" s="130" t="s">
        <v>34</v>
      </c>
      <c r="F37" s="134" t="str">
        <f>VLOOKUP(C37,'Name labels'!$B$19:$D$43,2,FALSE)</f>
        <v>Passthrough</v>
      </c>
      <c r="G37" s="134" t="str">
        <f>VLOOKUP(C37,'Name labels'!$B$19:$D$43,3,FALSE)</f>
        <v>Passthrough and recoverable costs</v>
      </c>
      <c r="H37" s="131">
        <v>5073.8739999999998</v>
      </c>
      <c r="I37" s="131">
        <v>4954.6000000000004</v>
      </c>
      <c r="J37" s="135">
        <f t="shared" si="0"/>
        <v>4954.6000000000004</v>
      </c>
      <c r="K37" s="248"/>
      <c r="L37" s="249"/>
      <c r="M37" s="249"/>
      <c r="N37" s="249"/>
      <c r="O37" s="249"/>
      <c r="P37" s="249"/>
      <c r="Q37" s="249"/>
      <c r="R37" s="249"/>
      <c r="S37" s="249"/>
      <c r="T37" s="249"/>
      <c r="U37" s="250"/>
    </row>
    <row r="38" spans="2:21">
      <c r="B38" s="133" t="str">
        <f>'Name labels'!B38</f>
        <v>CPP recoverable costs</v>
      </c>
      <c r="C38" s="134"/>
      <c r="D38" s="130" t="s">
        <v>132</v>
      </c>
      <c r="E38" s="130" t="s">
        <v>132</v>
      </c>
      <c r="F38" s="134" t="str">
        <f>VLOOKUP(B38,'Name labels'!$B$19:$D$43,2,FALSE)</f>
        <v>Passthrough</v>
      </c>
      <c r="G38" s="134" t="str">
        <f>VLOOKUP(B38,'Name labels'!$B$19:$D$43,3,FALSE)</f>
        <v>Operational costs</v>
      </c>
      <c r="H38" s="131">
        <v>2548.8440000000001</v>
      </c>
      <c r="I38" s="131">
        <v>0</v>
      </c>
      <c r="J38" s="135">
        <f t="shared" ca="1" si="0"/>
        <v>0</v>
      </c>
      <c r="K38" s="248"/>
      <c r="L38" s="249"/>
      <c r="M38" s="249"/>
      <c r="N38" s="249"/>
      <c r="O38" s="249"/>
      <c r="P38" s="249"/>
      <c r="Q38" s="249"/>
      <c r="R38" s="249"/>
      <c r="S38" s="249"/>
      <c r="T38" s="249"/>
      <c r="U38" s="250"/>
    </row>
    <row r="39" spans="2:21">
      <c r="B39" s="133" t="str">
        <f>'Name labels'!B39</f>
        <v>Quality Incentive Adjustments</v>
      </c>
      <c r="C39" s="134"/>
      <c r="D39" s="130" t="s">
        <v>132</v>
      </c>
      <c r="E39" s="130" t="s">
        <v>132</v>
      </c>
      <c r="F39" s="134" t="str">
        <f>VLOOKUP(B39,'Name labels'!$B$19:$D$43,2,FALSE)</f>
        <v>Passthrough</v>
      </c>
      <c r="G39" s="134" t="str">
        <f>VLOOKUP(B39,'Name labels'!$B$19:$D$43,3,FALSE)</f>
        <v>Operational costs</v>
      </c>
      <c r="H39" s="131">
        <v>-613.94031556480002</v>
      </c>
      <c r="I39" s="131">
        <v>-11.763999999999999</v>
      </c>
      <c r="J39" s="135">
        <f t="shared" ca="1" si="0"/>
        <v>-9.7894012756748001</v>
      </c>
      <c r="K39" s="248"/>
      <c r="L39" s="249"/>
      <c r="M39" s="249"/>
      <c r="N39" s="249"/>
      <c r="O39" s="249"/>
      <c r="P39" s="249"/>
      <c r="Q39" s="249"/>
      <c r="R39" s="249"/>
      <c r="S39" s="249"/>
      <c r="T39" s="249"/>
      <c r="U39" s="250"/>
    </row>
    <row r="40" spans="2:21">
      <c r="B40" s="133" t="str">
        <f>'Name labels'!B40</f>
        <v>Capex Wash-up Adjustment</v>
      </c>
      <c r="C40" s="134"/>
      <c r="D40" s="130" t="s">
        <v>137</v>
      </c>
      <c r="E40" s="130" t="s">
        <v>137</v>
      </c>
      <c r="F40" s="134" t="str">
        <f>VLOOKUP(B40,'Name labels'!$B$19:$D$43,2,FALSE)</f>
        <v>Passthrough</v>
      </c>
      <c r="G40" s="134" t="str">
        <f>VLOOKUP(B40,'Name labels'!$B$19:$D$43,3,FALSE)</f>
        <v>Capital related costs</v>
      </c>
      <c r="H40" s="131">
        <v>0</v>
      </c>
      <c r="I40" s="131">
        <v>-784.97299999999996</v>
      </c>
      <c r="J40" s="135">
        <f t="shared" ca="1" si="0"/>
        <v>-653.21452631505224</v>
      </c>
      <c r="K40" s="248"/>
      <c r="L40" s="249"/>
      <c r="M40" s="249"/>
      <c r="N40" s="249"/>
      <c r="O40" s="249"/>
      <c r="P40" s="249"/>
      <c r="Q40" s="249"/>
      <c r="R40" s="249"/>
      <c r="S40" s="249"/>
      <c r="T40" s="249"/>
      <c r="U40" s="250"/>
    </row>
    <row r="41" spans="2:21">
      <c r="B41" s="136" t="str">
        <f>'Name labels'!B41</f>
        <v>Fire and Emergency Management New Zealand (FENZ) levies</v>
      </c>
      <c r="C41" s="137"/>
      <c r="D41" s="130" t="s">
        <v>137</v>
      </c>
      <c r="E41" s="130" t="s">
        <v>137</v>
      </c>
      <c r="F41" s="137" t="str">
        <f>VLOOKUP(B41,'Name labels'!$B$19:$D$43,2,FALSE)</f>
        <v>Passthrough</v>
      </c>
      <c r="G41" s="137" t="str">
        <f>VLOOKUP(B41,'Name labels'!$B$19:$D$43,3,FALSE)</f>
        <v>Passthrough and recoverable costs</v>
      </c>
      <c r="H41" s="131">
        <v>38.886000000000003</v>
      </c>
      <c r="I41" s="131">
        <v>35.545999999999999</v>
      </c>
      <c r="J41" s="138">
        <f t="shared" si="0"/>
        <v>35.545999999999999</v>
      </c>
      <c r="K41" s="251"/>
      <c r="L41" s="252"/>
      <c r="M41" s="252"/>
      <c r="N41" s="252"/>
      <c r="O41" s="252"/>
      <c r="P41" s="252"/>
      <c r="Q41" s="252"/>
      <c r="R41" s="252"/>
      <c r="S41" s="252"/>
      <c r="T41" s="252"/>
      <c r="U41" s="253"/>
    </row>
    <row r="42" spans="2:21">
      <c r="B42" s="136" t="str">
        <f>'Name labels'!B42</f>
        <v>Opening wash-up Account Balance</v>
      </c>
      <c r="C42" s="146"/>
      <c r="D42" s="147"/>
      <c r="E42" s="147"/>
      <c r="F42" s="147"/>
      <c r="G42" s="147"/>
      <c r="H42" s="131">
        <v>0</v>
      </c>
      <c r="I42" s="131">
        <v>-1286.597</v>
      </c>
      <c r="J42" s="148"/>
      <c r="K42" s="232" t="s">
        <v>167</v>
      </c>
      <c r="L42" s="233"/>
      <c r="M42" s="233"/>
      <c r="N42" s="233"/>
      <c r="O42" s="233"/>
      <c r="P42" s="233"/>
      <c r="Q42" s="233"/>
      <c r="R42" s="233"/>
      <c r="S42" s="233"/>
      <c r="T42" s="233"/>
      <c r="U42" s="234"/>
    </row>
    <row r="43" spans="2:21" s="88" customFormat="1">
      <c r="B43" s="149" t="s">
        <v>168</v>
      </c>
      <c r="C43" s="150"/>
      <c r="D43" s="147"/>
      <c r="E43" s="147"/>
      <c r="F43" s="147"/>
      <c r="G43" s="147"/>
      <c r="H43" s="151">
        <f>SUM(H17:H42)</f>
        <v>117884.55772443519</v>
      </c>
      <c r="I43" s="151">
        <f>SUM(I17:I42)</f>
        <v>139031.83300000001</v>
      </c>
      <c r="J43" s="151"/>
      <c r="K43" s="149"/>
      <c r="L43" s="150"/>
      <c r="M43" s="150"/>
      <c r="N43" s="150"/>
      <c r="O43" s="150"/>
      <c r="P43" s="150"/>
      <c r="Q43" s="150"/>
      <c r="R43" s="150"/>
      <c r="S43" s="150"/>
      <c r="T43" s="150"/>
      <c r="U43" s="152"/>
    </row>
    <row r="44" spans="2:21" s="88" customFormat="1">
      <c r="B44" s="149" t="s">
        <v>169</v>
      </c>
      <c r="C44" s="150"/>
      <c r="D44" s="147"/>
      <c r="E44" s="147"/>
      <c r="F44" s="147"/>
      <c r="G44" s="147"/>
      <c r="H44" s="131">
        <v>107111.798</v>
      </c>
      <c r="I44" s="151">
        <f ca="1">SUM(J17:J43)</f>
        <v>121792.565</v>
      </c>
      <c r="K44" s="149"/>
      <c r="L44" s="150"/>
      <c r="M44" s="150"/>
      <c r="N44" s="150"/>
      <c r="O44" s="150"/>
      <c r="P44" s="150"/>
      <c r="Q44" s="150"/>
      <c r="R44" s="150"/>
      <c r="S44" s="150"/>
      <c r="T44" s="150"/>
      <c r="U44" s="152"/>
    </row>
    <row r="45" spans="2:21" s="88" customFormat="1">
      <c r="B45" s="149" t="s">
        <v>170</v>
      </c>
      <c r="C45" s="150"/>
      <c r="D45" s="147"/>
      <c r="E45" s="147"/>
      <c r="F45" s="147"/>
      <c r="G45" s="147"/>
      <c r="H45" s="151">
        <f>H43-H44</f>
        <v>10772.759724435193</v>
      </c>
      <c r="I45" s="151">
        <f ca="1">I43-I44</f>
        <v>17239.268000000011</v>
      </c>
      <c r="J45" s="151"/>
      <c r="K45" s="149"/>
      <c r="L45" s="150"/>
      <c r="M45" s="150"/>
      <c r="N45" s="150"/>
      <c r="O45" s="150"/>
      <c r="P45" s="150"/>
      <c r="Q45" s="150"/>
      <c r="R45" s="150"/>
      <c r="S45" s="150"/>
      <c r="T45" s="150"/>
      <c r="U45" s="152"/>
    </row>
    <row r="46" spans="2:21">
      <c r="I46" s="83">
        <f ca="1">IF((I44*1000)=C48,0,1)</f>
        <v>0</v>
      </c>
      <c r="J46" s="70"/>
      <c r="K46" s="70"/>
    </row>
    <row r="47" spans="2:21">
      <c r="B47" s="153" t="s">
        <v>171</v>
      </c>
      <c r="C47" s="154">
        <v>99660000</v>
      </c>
      <c r="D47" s="155" t="s">
        <v>172</v>
      </c>
      <c r="J47" s="70"/>
      <c r="K47" s="70"/>
    </row>
    <row r="48" spans="2:21">
      <c r="B48" s="153" t="s">
        <v>173</v>
      </c>
      <c r="C48" s="154">
        <v>121792565</v>
      </c>
      <c r="D48" s="155" t="s">
        <v>174</v>
      </c>
      <c r="J48" s="70"/>
      <c r="K48" s="70"/>
    </row>
    <row r="49" spans="2:4" s="70" customFormat="1"/>
    <row r="50" spans="2:4" s="70" customFormat="1">
      <c r="D50" s="88" t="s">
        <v>175</v>
      </c>
    </row>
    <row r="51" spans="2:4" s="70" customFormat="1">
      <c r="B51" s="153" t="str">
        <f>'Name labels'!C62</f>
        <v>Capital related costs</v>
      </c>
      <c r="C51" s="156">
        <f ca="1">SUMIF(G$17:I$42,B51,I$17:I$42)</f>
        <v>45285.659</v>
      </c>
      <c r="D51" s="157">
        <f ca="1">(C55-C53)/SUM(C51:C52)</f>
        <v>0.83214903737460055</v>
      </c>
    </row>
    <row r="52" spans="2:4" s="70" customFormat="1">
      <c r="B52" s="153" t="str">
        <f>'Name labels'!C63</f>
        <v>Operational costs</v>
      </c>
      <c r="C52" s="156">
        <f t="shared" ref="C52:C53" ca="1" si="1">SUMIF(G$17:I$42,B52,I$17:I$42)</f>
        <v>65085.259999999995</v>
      </c>
      <c r="D52" s="157">
        <f ca="1">D51</f>
        <v>0.83214903737460055</v>
      </c>
    </row>
    <row r="53" spans="2:4" s="70" customFormat="1">
      <c r="B53" s="153" t="str">
        <f>'Name labels'!C64</f>
        <v>Passthrough and recoverable costs</v>
      </c>
      <c r="C53" s="156">
        <f t="shared" ca="1" si="1"/>
        <v>29947.511000000002</v>
      </c>
      <c r="D53" s="157">
        <v>1</v>
      </c>
    </row>
    <row r="54" spans="2:4" s="70" customFormat="1">
      <c r="B54" s="153" t="s">
        <v>176</v>
      </c>
      <c r="C54" s="156">
        <f ca="1">C55-SUM(C51:C52)</f>
        <v>11421.646000000008</v>
      </c>
      <c r="D54" s="157">
        <v>0</v>
      </c>
    </row>
    <row r="55" spans="2:4" s="70" customFormat="1">
      <c r="B55" s="153" t="s">
        <v>169</v>
      </c>
      <c r="C55" s="156">
        <f>C48/1000</f>
        <v>121792.565</v>
      </c>
    </row>
    <row r="56" spans="2:4" s="70" customFormat="1"/>
    <row r="57" spans="2:4" s="70" customFormat="1"/>
    <row r="58" spans="2:4" s="70" customFormat="1"/>
    <row r="59" spans="2:4" s="70" customFormat="1"/>
    <row r="60" spans="2:4" s="70" customFormat="1"/>
    <row r="61" spans="2:4" s="70" customFormat="1"/>
    <row r="65" s="70" customFormat="1"/>
    <row r="66" s="70" customFormat="1"/>
    <row r="67" s="70" customFormat="1"/>
    <row r="68" s="70" customFormat="1"/>
    <row r="69" s="70" customFormat="1"/>
    <row r="70" s="70" customFormat="1"/>
    <row r="71" s="70" customFormat="1"/>
    <row r="72" s="70" customFormat="1"/>
    <row r="73" s="70" customFormat="1"/>
    <row r="74" s="70" customFormat="1"/>
    <row r="75" s="70" customFormat="1"/>
    <row r="76" s="70" customFormat="1"/>
    <row r="77" s="70" customFormat="1"/>
    <row r="78" s="70" customFormat="1"/>
    <row r="79" s="70" customFormat="1"/>
    <row r="80" s="70" customFormat="1"/>
    <row r="81" s="70" customFormat="1"/>
    <row r="82" s="70" customFormat="1"/>
    <row r="83" s="70" customFormat="1"/>
    <row r="84" s="70" customFormat="1"/>
    <row r="85" s="70" customFormat="1"/>
    <row r="86" s="70" customFormat="1"/>
    <row r="87" s="70" customFormat="1"/>
    <row r="89" s="70" customFormat="1"/>
    <row r="93" s="70" customFormat="1"/>
    <row r="94" s="70" customFormat="1"/>
    <row r="95" s="70" customFormat="1"/>
    <row r="96" s="70" customFormat="1"/>
    <row r="97" s="70" customFormat="1"/>
    <row r="98" s="70" customFormat="1"/>
    <row r="99" s="70" customFormat="1"/>
    <row r="100" s="70" customFormat="1"/>
    <row r="101" s="70" customFormat="1"/>
    <row r="102" s="70" customFormat="1"/>
    <row r="103" s="70" customFormat="1"/>
    <row r="104" s="70" customFormat="1"/>
    <row r="105" s="70" customFormat="1"/>
    <row r="106" s="70" customFormat="1"/>
    <row r="107" s="70" customFormat="1"/>
    <row r="108" s="70" customFormat="1"/>
    <row r="109" s="70" customFormat="1"/>
    <row r="110" s="70" customFormat="1"/>
    <row r="111" s="70" customFormat="1"/>
    <row r="112" s="70" customFormat="1"/>
    <row r="113" s="70" customFormat="1"/>
    <row r="114" s="70" customFormat="1"/>
    <row r="115" s="70" customFormat="1"/>
    <row r="116" s="70" customFormat="1"/>
    <row r="119" s="70" customFormat="1"/>
    <row r="120" s="70" customFormat="1"/>
    <row r="121"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5" s="70" customFormat="1"/>
    <row r="146" s="70" customFormat="1"/>
    <row r="147" s="70" customFormat="1"/>
    <row r="148" s="70" customFormat="1"/>
    <row r="149" s="70" customFormat="1"/>
    <row r="150" s="70" customFormat="1"/>
    <row r="151" s="70" customFormat="1"/>
    <row r="152" s="70" customFormat="1"/>
    <row r="153" s="70" customFormat="1"/>
    <row r="154" s="70" customFormat="1"/>
    <row r="155" s="70" customFormat="1"/>
    <row r="156" s="70" customFormat="1"/>
    <row r="157" s="70" customFormat="1"/>
    <row r="158" s="70" customFormat="1"/>
    <row r="159" s="70" customFormat="1"/>
    <row r="160" s="70" customFormat="1"/>
    <row r="161" s="70" customFormat="1"/>
    <row r="162" s="70" customFormat="1"/>
    <row r="163" s="70" customFormat="1"/>
    <row r="164" s="70" customFormat="1"/>
    <row r="165" s="70" customFormat="1"/>
    <row r="166" s="70" customFormat="1"/>
    <row r="167" s="70" customFormat="1"/>
    <row r="171" s="70" customFormat="1"/>
    <row r="172" s="70" customFormat="1"/>
    <row r="173" s="70" customFormat="1"/>
    <row r="174" s="70" customFormat="1"/>
    <row r="175" s="70" customFormat="1"/>
    <row r="176" s="70" customFormat="1"/>
    <row r="177" s="70" customFormat="1"/>
    <row r="178" s="70" customFormat="1"/>
    <row r="179" s="7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sheetData>
  <sheetProtection algorithmName="SHA-512" hashValue="nPI2C2nf4q5qpJIaZ13CKG+Pj3ve7cytJzzMMOJ+YA1vyJuHDdvMCbeU2L+t1q7YM0IA+Yr74EGs8oUI9aWoyQ==" saltValue="cooMqxG++Fl+65fCJokIMQ==" spinCount="100000" sheet="1" objects="1" scenarios="1"/>
  <mergeCells count="6">
    <mergeCell ref="K42:U42"/>
    <mergeCell ref="K15:U15"/>
    <mergeCell ref="K17:U22"/>
    <mergeCell ref="K23:U25"/>
    <mergeCell ref="K26:U26"/>
    <mergeCell ref="K27:U41"/>
  </mergeCells>
  <phoneticPr fontId="49" type="noConversion"/>
  <conditionalFormatting sqref="I46">
    <cfRule type="cellIs" dxfId="63" priority="1" stopIfTrue="1" operator="equal">
      <formula>0</formula>
    </cfRule>
    <cfRule type="cellIs" dxfId="62" priority="2" stopIfTrue="1" operator="notEqual">
      <formula>0</formula>
    </cfRule>
  </conditionalFormatting>
  <dataValidations count="3">
    <dataValidation type="list" allowBlank="1" showInputMessage="1" showErrorMessage="1" sqref="D44:D45" xr:uid="{9500891D-D349-4E1C-BBED-0BB04F04E228}">
      <formula1>$D$43:$D$44</formula1>
    </dataValidation>
    <dataValidation type="list" allowBlank="1" showInputMessage="1" showErrorMessage="1" sqref="E42:E45" xr:uid="{DE090F09-A373-40B7-B90A-401F30CAE9F2}">
      <formula1>$E$43:$E$44</formula1>
    </dataValidation>
    <dataValidation type="list" allowBlank="1" showInputMessage="1" showErrorMessage="1" sqref="G42:G45" xr:uid="{BB685F6A-CAE6-4AD5-A862-26880DECF7EC}">
      <formula1>$B$38:$B$39</formula1>
    </dataValidation>
  </dataValidations>
  <pageMargins left="0.70866141732283472" right="0.70866141732283472" top="0.74803149606299213" bottom="0.74803149606299213" header="0.31496062992125984" footer="0.31496062992125984"/>
  <pageSetup paperSize="8" scale="4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3CB0C4E-6D66-4F3A-A090-82A361054D09}">
          <x14:formula1>
            <xm:f>'Name labels'!$B$47:$B$57</xm:f>
          </x14:formula1>
          <xm:sqref>D17:D41</xm:sqref>
        </x14:dataValidation>
        <x14:dataValidation type="list" allowBlank="1" showInputMessage="1" showErrorMessage="1" xr:uid="{9041B595-09EF-4869-89DB-EC25229375A7}">
          <x14:formula1>
            <xm:f>'Name labels'!$C$47:$C$58</xm:f>
          </x14:formula1>
          <xm:sqref>E17:E41</xm:sqref>
        </x14:dataValidation>
        <x14:dataValidation type="list" allowBlank="1" showInputMessage="1" showErrorMessage="1" xr:uid="{874E1F98-C099-43F0-9FD0-F8BC213D5225}">
          <x14:formula1>
            <xm:f>'Name labels'!$B$62:$B$63</xm:f>
          </x14:formula1>
          <xm:sqref>F42:F45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pageSetUpPr fitToPage="1"/>
  </sheetPr>
  <dimension ref="A2:W202"/>
  <sheetViews>
    <sheetView showGridLines="0" workbookViewId="0">
      <selection activeCell="G9" sqref="G9"/>
    </sheetView>
  </sheetViews>
  <sheetFormatPr defaultColWidth="7.42578125" defaultRowHeight="12" customHeight="1" outlineLevelRow="1"/>
  <cols>
    <col min="1" max="1" width="3.7109375" style="70" customWidth="1"/>
    <col min="2" max="2" width="41.5703125" style="70" customWidth="1"/>
    <col min="3" max="3" width="10.42578125" style="100" customWidth="1"/>
    <col min="4" max="4" width="14.7109375" style="70" customWidth="1"/>
    <col min="5" max="7" width="7.5703125" style="70" customWidth="1"/>
    <col min="8" max="8" width="12.42578125" style="70" customWidth="1"/>
    <col min="9" max="11" width="17.42578125" style="70" customWidth="1"/>
    <col min="12" max="12" width="18.5703125" style="70" customWidth="1"/>
    <col min="13" max="13" width="11.42578125" style="70" customWidth="1"/>
    <col min="14" max="15" width="7.42578125" style="70"/>
    <col min="16" max="16" width="13" style="70" customWidth="1"/>
    <col min="17" max="17" width="12.7109375" style="70" customWidth="1"/>
    <col min="18" max="18" width="9.5703125" style="70" customWidth="1"/>
    <col min="19" max="19" width="12.42578125" style="70" customWidth="1"/>
    <col min="20" max="16384" width="7.42578125" style="70"/>
  </cols>
  <sheetData>
    <row r="2" spans="1:17" ht="15" customHeight="1">
      <c r="B2" s="71" t="str">
        <f ca="1">MID(CELL("filename",A1),FIND("]",CELL("filename",A1))+1,255)</f>
        <v>Allocator Data</v>
      </c>
    </row>
    <row r="3" spans="1:17" ht="12" customHeight="1">
      <c r="B3" s="72" t="str">
        <f>'Name labels'!B8</f>
        <v>Pricing Area Name</v>
      </c>
      <c r="C3" s="96"/>
      <c r="D3" s="73"/>
      <c r="E3" s="73"/>
      <c r="F3" s="73"/>
      <c r="G3" s="73"/>
      <c r="H3" s="73"/>
      <c r="I3" s="158" t="str">
        <f>'Name labels'!B10</f>
        <v>Dunedin</v>
      </c>
      <c r="J3" s="158" t="str">
        <f>'Name labels'!B11</f>
        <v>Central Otago</v>
      </c>
      <c r="K3" s="158" t="str">
        <f>'Name labels'!B12</f>
        <v>Queenstown</v>
      </c>
      <c r="L3" s="158" t="str">
        <f>'Name labels'!B13</f>
        <v>Te Anau</v>
      </c>
    </row>
    <row r="4" spans="1:17" ht="12" customHeight="1">
      <c r="B4" s="72"/>
      <c r="C4" s="96"/>
      <c r="D4" s="73"/>
      <c r="E4" s="73"/>
      <c r="F4" s="73"/>
      <c r="G4" s="73"/>
      <c r="H4" s="73"/>
      <c r="I4" s="76">
        <v>1</v>
      </c>
      <c r="J4" s="76">
        <v>2</v>
      </c>
      <c r="K4" s="76">
        <v>3</v>
      </c>
      <c r="L4" s="76">
        <v>4</v>
      </c>
    </row>
    <row r="7" spans="1:17" ht="12" customHeight="1">
      <c r="B7" s="95" t="s">
        <v>60</v>
      </c>
      <c r="C7" s="77"/>
      <c r="D7" s="75"/>
      <c r="E7" s="95"/>
      <c r="F7" s="95"/>
      <c r="G7" s="95"/>
      <c r="H7" s="95"/>
      <c r="I7" s="95"/>
      <c r="J7" s="95"/>
      <c r="K7" s="95"/>
      <c r="L7" s="95"/>
    </row>
    <row r="9" spans="1:17" ht="12" customHeight="1">
      <c r="B9" s="78" t="s">
        <v>177</v>
      </c>
    </row>
    <row r="10" spans="1:17" ht="12" customHeight="1">
      <c r="B10" s="70" t="s">
        <v>238</v>
      </c>
      <c r="C10" s="159" t="s">
        <v>239</v>
      </c>
    </row>
    <row r="12" spans="1:17" ht="12" customHeight="1">
      <c r="A12" s="70">
        <v>1</v>
      </c>
      <c r="B12" s="160" t="str">
        <f>'Name labels'!B47</f>
        <v>ICP Count</v>
      </c>
      <c r="C12" s="77" t="s">
        <v>178</v>
      </c>
      <c r="D12" s="77" t="s">
        <v>7</v>
      </c>
      <c r="E12" s="95"/>
      <c r="F12" s="95"/>
      <c r="G12" s="95"/>
      <c r="H12" s="95"/>
      <c r="I12" s="95"/>
      <c r="J12" s="95"/>
      <c r="K12" s="95"/>
      <c r="L12" s="95"/>
    </row>
    <row r="13" spans="1:17" ht="12" customHeight="1" outlineLevel="1"/>
    <row r="14" spans="1:17" ht="12" customHeight="1" outlineLevel="1">
      <c r="B14" s="161" t="s">
        <v>179</v>
      </c>
      <c r="Q14" s="79"/>
    </row>
    <row r="15" spans="1:17" ht="12" customHeight="1" outlineLevel="1">
      <c r="I15" s="155" t="s">
        <v>180</v>
      </c>
      <c r="Q15" s="79"/>
    </row>
    <row r="16" spans="1:17" ht="12" customHeight="1" outlineLevel="1">
      <c r="B16" s="70" t="str">
        <f>'Name labels'!$C$10</f>
        <v>Load group Streetlighting</v>
      </c>
      <c r="C16" s="118" t="s">
        <v>181</v>
      </c>
      <c r="D16" s="87">
        <f>SUM(I16:M16)</f>
        <v>13</v>
      </c>
      <c r="I16" s="162">
        <v>2</v>
      </c>
      <c r="J16" s="162">
        <v>5</v>
      </c>
      <c r="K16" s="162">
        <v>5</v>
      </c>
      <c r="L16" s="162">
        <f>13-SUM(I16:K16)</f>
        <v>1</v>
      </c>
      <c r="Q16" s="79"/>
    </row>
    <row r="17" spans="2:17" ht="12" customHeight="1" outlineLevel="1">
      <c r="B17" s="70" t="str">
        <f>'Name labels'!$C$11</f>
        <v>Load group 1 (incl residential)</v>
      </c>
      <c r="C17" s="118" t="s">
        <v>181</v>
      </c>
      <c r="D17" s="87">
        <f t="shared" ref="D17:D18" si="0">SUM(I17:M17)</f>
        <v>83770</v>
      </c>
      <c r="I17" s="162">
        <f>48940+410+2894</f>
        <v>52244</v>
      </c>
      <c r="J17" s="162">
        <f>17180+313+1749</f>
        <v>19242</v>
      </c>
      <c r="K17" s="162">
        <f>10908+178+1065</f>
        <v>12151</v>
      </c>
      <c r="L17" s="162">
        <f>(77158+903+5709)-SUM(I17:K17)</f>
        <v>133</v>
      </c>
      <c r="Q17" s="79"/>
    </row>
    <row r="18" spans="2:17" ht="12" customHeight="1" outlineLevel="1">
      <c r="B18" s="70" t="str">
        <f>'Name labels'!$C$12</f>
        <v>Load group 2</v>
      </c>
      <c r="C18" s="118" t="s">
        <v>181</v>
      </c>
      <c r="D18" s="87">
        <f t="shared" si="0"/>
        <v>6739</v>
      </c>
      <c r="I18" s="162">
        <v>3111</v>
      </c>
      <c r="J18" s="162">
        <v>1931</v>
      </c>
      <c r="K18" s="162">
        <v>1694</v>
      </c>
      <c r="L18" s="162">
        <f>6739-SUM(I18:K18)</f>
        <v>3</v>
      </c>
      <c r="Q18" s="79"/>
    </row>
    <row r="19" spans="2:17" ht="12" customHeight="1" outlineLevel="1">
      <c r="B19" s="70" t="str">
        <f>'Name labels'!$C$13</f>
        <v>Load group 3</v>
      </c>
      <c r="C19" s="118" t="s">
        <v>181</v>
      </c>
      <c r="D19" s="87">
        <f>SUM(I19:M19)</f>
        <v>392</v>
      </c>
      <c r="I19" s="162">
        <f>102+90</f>
        <v>192</v>
      </c>
      <c r="J19" s="162">
        <f>87+51</f>
        <v>138</v>
      </c>
      <c r="K19" s="162">
        <f>29+33</f>
        <v>62</v>
      </c>
      <c r="L19" s="162">
        <v>0</v>
      </c>
      <c r="Q19" s="79"/>
    </row>
    <row r="20" spans="2:17" ht="12" customHeight="1" outlineLevel="1">
      <c r="B20" s="70" t="str">
        <f>'Name labels'!$C$14</f>
        <v>Load group 4</v>
      </c>
      <c r="C20" s="118" t="s">
        <v>181</v>
      </c>
      <c r="D20" s="87">
        <f>SUM(I20:M20)</f>
        <v>138</v>
      </c>
      <c r="I20" s="162">
        <v>74</v>
      </c>
      <c r="J20" s="162">
        <v>38</v>
      </c>
      <c r="K20" s="162">
        <f>25+1</f>
        <v>26</v>
      </c>
      <c r="L20" s="162">
        <v>0</v>
      </c>
      <c r="Q20" s="79"/>
    </row>
    <row r="21" spans="2:17" ht="12" customHeight="1" outlineLevel="1">
      <c r="B21" s="70" t="str">
        <f>'Name labels'!$C$15</f>
        <v>Load group 5</v>
      </c>
      <c r="C21" s="118" t="s">
        <v>181</v>
      </c>
      <c r="D21" s="87">
        <f>SUM(I21:M21)</f>
        <v>10</v>
      </c>
      <c r="I21" s="162">
        <v>7</v>
      </c>
      <c r="J21" s="162">
        <v>1</v>
      </c>
      <c r="K21" s="162">
        <f>1+1</f>
        <v>2</v>
      </c>
      <c r="L21" s="162">
        <v>0</v>
      </c>
      <c r="Q21" s="79"/>
    </row>
    <row r="22" spans="2:17" s="88" customFormat="1" ht="12" customHeight="1" outlineLevel="1">
      <c r="B22" s="88" t="s">
        <v>7</v>
      </c>
      <c r="C22" s="163"/>
      <c r="D22" s="88">
        <f>SUM(I22:L22)</f>
        <v>91062</v>
      </c>
      <c r="I22" s="88">
        <f>SUM(I16:I21)</f>
        <v>55630</v>
      </c>
      <c r="J22" s="88">
        <f>SUM(J16:J21)</f>
        <v>21355</v>
      </c>
      <c r="K22" s="88">
        <f>SUM(K16:K21)</f>
        <v>13940</v>
      </c>
      <c r="L22" s="88">
        <f>SUM(L16:L21)</f>
        <v>137</v>
      </c>
      <c r="M22" s="70"/>
      <c r="Q22" s="79"/>
    </row>
    <row r="23" spans="2:17" ht="12" customHeight="1" outlineLevel="1">
      <c r="D23" s="100"/>
      <c r="E23" s="100"/>
      <c r="F23" s="100"/>
      <c r="G23" s="100"/>
      <c r="H23" s="100"/>
      <c r="I23" s="164">
        <f>I22/$D22</f>
        <v>0.61090246205881704</v>
      </c>
      <c r="J23" s="164">
        <f>J22/$D22</f>
        <v>0.23451055324943446</v>
      </c>
      <c r="K23" s="164">
        <f>K22/$D22</f>
        <v>0.15308251520941776</v>
      </c>
      <c r="L23" s="164">
        <f>L22/$D22</f>
        <v>1.5044694823307197E-3</v>
      </c>
      <c r="M23" s="165"/>
    </row>
    <row r="24" spans="2:17" ht="12" customHeight="1" outlineLevel="1">
      <c r="B24" s="161" t="s">
        <v>182</v>
      </c>
    </row>
    <row r="25" spans="2:17" ht="12" customHeight="1" outlineLevel="1">
      <c r="I25" s="166"/>
      <c r="J25" s="166"/>
      <c r="K25" s="166"/>
      <c r="L25" s="166"/>
      <c r="Q25" s="88"/>
    </row>
    <row r="26" spans="2:17" ht="12" customHeight="1" outlineLevel="1">
      <c r="B26" s="70" t="str">
        <f>'Name labels'!$C$10</f>
        <v>Load group Streetlighting</v>
      </c>
      <c r="C26" s="118"/>
      <c r="D26" s="82">
        <f t="shared" ref="D26:D32" si="1">D16/D$22</f>
        <v>1.4275987788539676E-4</v>
      </c>
      <c r="I26" s="82">
        <f t="shared" ref="I26:L31" si="2">IF(I$22=0,0,I16/I$22)</f>
        <v>3.5951824555096173E-5</v>
      </c>
      <c r="J26" s="82">
        <f t="shared" si="2"/>
        <v>2.3413720440177945E-4</v>
      </c>
      <c r="K26" s="82">
        <f t="shared" si="2"/>
        <v>3.586800573888092E-4</v>
      </c>
      <c r="L26" s="82">
        <f t="shared" si="2"/>
        <v>7.2992700729927005E-3</v>
      </c>
    </row>
    <row r="27" spans="2:17" ht="12" customHeight="1" outlineLevel="1">
      <c r="B27" s="70" t="str">
        <f>'Name labels'!$C$11</f>
        <v>Load group 1 (incl residential)</v>
      </c>
      <c r="C27" s="118"/>
      <c r="D27" s="82">
        <f t="shared" si="1"/>
        <v>0.91992269003536054</v>
      </c>
      <c r="I27" s="82">
        <f t="shared" si="2"/>
        <v>0.93913356102822221</v>
      </c>
      <c r="J27" s="82">
        <f t="shared" si="2"/>
        <v>0.90105361741980805</v>
      </c>
      <c r="K27" s="82">
        <f t="shared" si="2"/>
        <v>0.87166427546628411</v>
      </c>
      <c r="L27" s="82">
        <f t="shared" si="2"/>
        <v>0.97080291970802923</v>
      </c>
    </row>
    <row r="28" spans="2:17" ht="12" customHeight="1" outlineLevel="1">
      <c r="B28" s="70" t="str">
        <f>'Name labels'!$C$12</f>
        <v>Load group 2</v>
      </c>
      <c r="C28" s="118"/>
      <c r="D28" s="82">
        <f t="shared" si="1"/>
        <v>7.4004524389976054E-2</v>
      </c>
      <c r="I28" s="82">
        <f t="shared" si="2"/>
        <v>5.5923063095452093E-2</v>
      </c>
      <c r="J28" s="82">
        <f t="shared" si="2"/>
        <v>9.0423788339967226E-2</v>
      </c>
      <c r="K28" s="82">
        <f t="shared" si="2"/>
        <v>0.12152080344332855</v>
      </c>
      <c r="L28" s="82">
        <f t="shared" si="2"/>
        <v>2.1897810218978103E-2</v>
      </c>
    </row>
    <row r="29" spans="2:17" ht="12" customHeight="1" outlineLevel="1">
      <c r="B29" s="70" t="str">
        <f>'Name labels'!$C$13</f>
        <v>Load group 3</v>
      </c>
      <c r="C29" s="118"/>
      <c r="D29" s="82">
        <f t="shared" si="1"/>
        <v>4.304759394698118E-3</v>
      </c>
      <c r="I29" s="82">
        <f t="shared" si="2"/>
        <v>3.4513751572892324E-3</v>
      </c>
      <c r="J29" s="82">
        <f t="shared" si="2"/>
        <v>6.4621868414891127E-3</v>
      </c>
      <c r="K29" s="82">
        <f t="shared" si="2"/>
        <v>4.4476327116212341E-3</v>
      </c>
      <c r="L29" s="82">
        <f t="shared" si="2"/>
        <v>0</v>
      </c>
    </row>
    <row r="30" spans="2:17" ht="12" customHeight="1" outlineLevel="1">
      <c r="B30" s="70" t="str">
        <f>'Name labels'!$C$14</f>
        <v>Load group 4</v>
      </c>
      <c r="C30" s="118"/>
      <c r="D30" s="82">
        <f t="shared" si="1"/>
        <v>1.5154510113988271E-3</v>
      </c>
      <c r="I30" s="82">
        <f t="shared" si="2"/>
        <v>1.3302175085385583E-3</v>
      </c>
      <c r="J30" s="82">
        <f t="shared" si="2"/>
        <v>1.7794427534535238E-3</v>
      </c>
      <c r="K30" s="82">
        <f t="shared" si="2"/>
        <v>1.8651362984218078E-3</v>
      </c>
      <c r="L30" s="82">
        <f t="shared" si="2"/>
        <v>0</v>
      </c>
    </row>
    <row r="31" spans="2:17" ht="12" customHeight="1" outlineLevel="1">
      <c r="B31" s="70" t="str">
        <f>'Name labels'!$C$15</f>
        <v>Load group 5</v>
      </c>
      <c r="C31" s="118"/>
      <c r="D31" s="82">
        <f t="shared" si="1"/>
        <v>1.0981529068107443E-4</v>
      </c>
      <c r="I31" s="82">
        <f t="shared" si="2"/>
        <v>1.258313859428366E-4</v>
      </c>
      <c r="J31" s="82">
        <f t="shared" si="2"/>
        <v>4.6827440880355889E-5</v>
      </c>
      <c r="K31" s="82">
        <f t="shared" si="2"/>
        <v>1.4347202295552367E-4</v>
      </c>
      <c r="L31" s="82">
        <f t="shared" si="2"/>
        <v>0</v>
      </c>
    </row>
    <row r="32" spans="2:17" s="88" customFormat="1" ht="12" customHeight="1" outlineLevel="1">
      <c r="B32" s="88" t="s">
        <v>7</v>
      </c>
      <c r="C32" s="163"/>
      <c r="D32" s="167">
        <f t="shared" si="1"/>
        <v>1</v>
      </c>
      <c r="I32" s="167">
        <f>SUM(I26:I31)</f>
        <v>1</v>
      </c>
      <c r="J32" s="167">
        <f>SUM(J26:J31)</f>
        <v>1</v>
      </c>
      <c r="K32" s="167">
        <f>SUM(K26:K31)</f>
        <v>1</v>
      </c>
      <c r="L32" s="167">
        <f>SUM(L26:L31)</f>
        <v>1</v>
      </c>
      <c r="M32" s="70"/>
    </row>
    <row r="33" spans="1:12" ht="12" customHeight="1" outlineLevel="1"/>
    <row r="34" spans="1:12" ht="12" customHeight="1" outlineLevel="1"/>
    <row r="36" spans="1:12" ht="12" customHeight="1">
      <c r="A36" s="70">
        <v>2</v>
      </c>
      <c r="B36" s="98" t="str">
        <f>'Name labels'!B48</f>
        <v>Total Circuit Length</v>
      </c>
      <c r="C36" s="77" t="s">
        <v>178</v>
      </c>
      <c r="D36" s="77" t="s">
        <v>7</v>
      </c>
      <c r="E36" s="95"/>
      <c r="F36" s="95"/>
      <c r="G36" s="95"/>
      <c r="H36" s="95"/>
      <c r="I36" s="95"/>
      <c r="J36" s="95"/>
      <c r="K36" s="95"/>
      <c r="L36" s="95"/>
    </row>
    <row r="37" spans="1:12" ht="12" customHeight="1" outlineLevel="1"/>
    <row r="38" spans="1:12" ht="12" customHeight="1" outlineLevel="1">
      <c r="B38" s="161" t="s">
        <v>179</v>
      </c>
      <c r="K38" s="168"/>
    </row>
    <row r="39" spans="1:12" ht="12" customHeight="1" outlineLevel="1">
      <c r="I39" s="155" t="s">
        <v>183</v>
      </c>
    </row>
    <row r="40" spans="1:12" ht="12" customHeight="1" outlineLevel="1">
      <c r="B40" s="88" t="s">
        <v>7</v>
      </c>
      <c r="C40" s="163" t="s">
        <v>46</v>
      </c>
      <c r="D40" s="169">
        <f t="shared" ref="D40" si="3">SUM(I40:L40)</f>
        <v>6161</v>
      </c>
      <c r="E40" s="88"/>
      <c r="F40" s="88"/>
      <c r="G40" s="88"/>
      <c r="H40" s="88"/>
      <c r="I40" s="162">
        <v>2383</v>
      </c>
      <c r="J40" s="162">
        <v>2764</v>
      </c>
      <c r="K40" s="162">
        <v>1008</v>
      </c>
      <c r="L40" s="162">
        <f>6161-SUM(I40:K40)</f>
        <v>6</v>
      </c>
    </row>
    <row r="41" spans="1:12" ht="12" customHeight="1" outlineLevel="1">
      <c r="D41" s="170"/>
      <c r="I41" s="164">
        <f>I40/$D$40</f>
        <v>0.38678785911378022</v>
      </c>
      <c r="J41" s="164">
        <f t="shared" ref="J41:L41" si="4">J40/$D$40</f>
        <v>0.4486284694043175</v>
      </c>
      <c r="K41" s="164">
        <f t="shared" si="4"/>
        <v>0.16360980360331115</v>
      </c>
      <c r="L41" s="164">
        <f t="shared" si="4"/>
        <v>9.7386787859113778E-4</v>
      </c>
    </row>
    <row r="42" spans="1:12" ht="12" customHeight="1" outlineLevel="1"/>
    <row r="44" spans="1:12" ht="12" customHeight="1">
      <c r="A44" s="70">
        <v>3</v>
      </c>
      <c r="B44" s="98" t="str">
        <f>'Name labels'!B49</f>
        <v>Overhead Circuit Length</v>
      </c>
      <c r="C44" s="77" t="s">
        <v>178</v>
      </c>
      <c r="D44" s="77" t="s">
        <v>7</v>
      </c>
      <c r="E44" s="95"/>
      <c r="F44" s="95"/>
      <c r="G44" s="95"/>
      <c r="H44" s="95"/>
      <c r="I44" s="95"/>
      <c r="J44" s="95"/>
      <c r="K44" s="95"/>
      <c r="L44" s="95"/>
    </row>
    <row r="45" spans="1:12" ht="12" customHeight="1" outlineLevel="1"/>
    <row r="46" spans="1:12" ht="12" customHeight="1" outlineLevel="1">
      <c r="B46" s="161" t="s">
        <v>179</v>
      </c>
    </row>
    <row r="47" spans="1:12" ht="12" customHeight="1" outlineLevel="1">
      <c r="I47" s="155" t="s">
        <v>183</v>
      </c>
    </row>
    <row r="48" spans="1:12" ht="12" customHeight="1" outlineLevel="1">
      <c r="B48" s="88" t="s">
        <v>7</v>
      </c>
      <c r="C48" s="163" t="s">
        <v>46</v>
      </c>
      <c r="D48" s="169">
        <f>SUM(I48:L48)</f>
        <v>3862</v>
      </c>
      <c r="F48" s="88"/>
      <c r="G48" s="88"/>
      <c r="H48" s="88"/>
      <c r="I48" s="162">
        <v>1696</v>
      </c>
      <c r="J48" s="162">
        <v>1753</v>
      </c>
      <c r="K48" s="162">
        <v>413</v>
      </c>
      <c r="L48" s="162">
        <v>0</v>
      </c>
    </row>
    <row r="49" spans="1:12" ht="12" customHeight="1" outlineLevel="1">
      <c r="D49" s="170"/>
      <c r="I49" s="164">
        <f>I48/$D$48</f>
        <v>0.43915069911962712</v>
      </c>
      <c r="J49" s="164">
        <f t="shared" ref="J49:L49" si="5">J48/$D$48</f>
        <v>0.45390989124805803</v>
      </c>
      <c r="K49" s="164">
        <f t="shared" si="5"/>
        <v>0.10693940963231487</v>
      </c>
      <c r="L49" s="164">
        <f t="shared" si="5"/>
        <v>0</v>
      </c>
    </row>
    <row r="50" spans="1:12" ht="12" customHeight="1" outlineLevel="1"/>
    <row r="51" spans="1:12" ht="12" customHeight="1">
      <c r="C51" s="92"/>
    </row>
    <row r="52" spans="1:12" ht="12" customHeight="1">
      <c r="A52" s="70">
        <v>4</v>
      </c>
      <c r="B52" s="98" t="str">
        <f>'Name labels'!B50</f>
        <v>CPD</v>
      </c>
      <c r="C52" s="77" t="s">
        <v>178</v>
      </c>
      <c r="D52" s="171" t="s">
        <v>7</v>
      </c>
      <c r="E52" s="95"/>
      <c r="F52" s="95"/>
      <c r="G52" s="95"/>
      <c r="H52" s="95"/>
      <c r="I52" s="95"/>
      <c r="J52" s="95"/>
      <c r="K52" s="95"/>
      <c r="L52" s="95"/>
    </row>
    <row r="53" spans="1:12" ht="12" customHeight="1" outlineLevel="1"/>
    <row r="54" spans="1:12" ht="12" customHeight="1" outlineLevel="1">
      <c r="B54" s="161" t="s">
        <v>179</v>
      </c>
      <c r="I54" s="155"/>
    </row>
    <row r="55" spans="1:12" ht="12" customHeight="1" outlineLevel="1">
      <c r="I55" s="155" t="s">
        <v>184</v>
      </c>
    </row>
    <row r="56" spans="1:12" ht="12" customHeight="1" outlineLevel="1">
      <c r="B56" s="70" t="str">
        <f>'Name labels'!$C$10</f>
        <v>Load group Streetlighting</v>
      </c>
      <c r="C56" s="118" t="s">
        <v>185</v>
      </c>
      <c r="D56" s="87">
        <f t="shared" ref="D56:D61" si="6">SUM(I56:M56)</f>
        <v>1722.2000000000003</v>
      </c>
      <c r="I56" s="162">
        <v>497.90000000000003</v>
      </c>
      <c r="J56" s="162">
        <v>313.10000000000002</v>
      </c>
      <c r="K56" s="162">
        <v>288.90000000000003</v>
      </c>
      <c r="L56" s="162">
        <v>622.30000000000007</v>
      </c>
    </row>
    <row r="57" spans="1:12" ht="12" customHeight="1" outlineLevel="1">
      <c r="B57" s="70" t="str">
        <f>'Name labels'!$C$11</f>
        <v>Load group 1 (incl residential)</v>
      </c>
      <c r="C57" s="118" t="s">
        <v>185</v>
      </c>
      <c r="D57" s="87">
        <f t="shared" si="6"/>
        <v>180512.59999999966</v>
      </c>
      <c r="I57" s="162">
        <v>98684.299999999348</v>
      </c>
      <c r="J57" s="162">
        <v>44068.000000000342</v>
      </c>
      <c r="K57" s="162">
        <v>37521.199999999953</v>
      </c>
      <c r="L57" s="162">
        <v>239.10000000000016</v>
      </c>
    </row>
    <row r="58" spans="1:12" ht="12" customHeight="1" outlineLevel="1">
      <c r="B58" s="70" t="str">
        <f>'Name labels'!$C$12</f>
        <v>Load group 2</v>
      </c>
      <c r="C58" s="118" t="s">
        <v>185</v>
      </c>
      <c r="D58" s="87">
        <f t="shared" si="6"/>
        <v>45905.792461538498</v>
      </c>
      <c r="I58" s="162">
        <v>22576.292461538465</v>
      </c>
      <c r="J58" s="162">
        <v>10739.050000000025</v>
      </c>
      <c r="K58" s="162">
        <v>12584.950000000012</v>
      </c>
      <c r="L58" s="162">
        <v>5.5</v>
      </c>
    </row>
    <row r="59" spans="1:12" ht="12" customHeight="1" outlineLevel="1">
      <c r="B59" s="70" t="str">
        <f>'Name labels'!$C$13</f>
        <v>Load group 3</v>
      </c>
      <c r="C59" s="118" t="s">
        <v>185</v>
      </c>
      <c r="D59" s="87">
        <f t="shared" si="6"/>
        <v>22251.331954641908</v>
      </c>
      <c r="I59" s="162">
        <v>13601.631954641907</v>
      </c>
      <c r="J59" s="162">
        <v>4516.7</v>
      </c>
      <c r="K59" s="162">
        <v>4133</v>
      </c>
      <c r="L59" s="162">
        <v>0</v>
      </c>
    </row>
    <row r="60" spans="1:12" ht="12" customHeight="1" outlineLevel="1">
      <c r="B60" s="70" t="str">
        <f>'Name labels'!$C$14</f>
        <v>Load group 4</v>
      </c>
      <c r="C60" s="118" t="s">
        <v>185</v>
      </c>
      <c r="D60" s="87">
        <f t="shared" si="6"/>
        <v>25417.337004099354</v>
      </c>
      <c r="I60" s="162">
        <v>14409.437004099354</v>
      </c>
      <c r="J60" s="162">
        <v>4870.5</v>
      </c>
      <c r="K60" s="162">
        <v>6137.4</v>
      </c>
      <c r="L60" s="162">
        <v>0</v>
      </c>
    </row>
    <row r="61" spans="1:12" ht="12" customHeight="1" outlineLevel="1">
      <c r="B61" s="70" t="str">
        <f>'Name labels'!$C$15</f>
        <v>Load group 5</v>
      </c>
      <c r="C61" s="118" t="s">
        <v>185</v>
      </c>
      <c r="D61" s="87">
        <f t="shared" si="6"/>
        <v>6384.7451064625029</v>
      </c>
      <c r="I61" s="162">
        <v>5747.4951064625029</v>
      </c>
      <c r="J61" s="162">
        <v>101.25</v>
      </c>
      <c r="K61" s="162">
        <v>536</v>
      </c>
      <c r="L61" s="162">
        <v>0</v>
      </c>
    </row>
    <row r="62" spans="1:12" ht="12" customHeight="1" outlineLevel="1">
      <c r="B62" s="88" t="s">
        <v>7</v>
      </c>
      <c r="C62" s="163"/>
      <c r="D62" s="88">
        <f>SUM(I62:L62)</f>
        <v>282194.00652674196</v>
      </c>
      <c r="E62" s="88"/>
      <c r="F62" s="88"/>
      <c r="G62" s="88"/>
      <c r="H62" s="88"/>
      <c r="I62" s="88">
        <f>SUM(I56:I61)</f>
        <v>155517.0565267416</v>
      </c>
      <c r="J62" s="88">
        <f>SUM(J56:J61)</f>
        <v>64608.600000000362</v>
      </c>
      <c r="K62" s="88">
        <f>SUM(K56:K61)</f>
        <v>61201.449999999968</v>
      </c>
      <c r="L62" s="88">
        <f>SUM(L56:L61)</f>
        <v>866.9000000000002</v>
      </c>
    </row>
    <row r="63" spans="1:12" ht="12" customHeight="1" outlineLevel="1">
      <c r="D63" s="100"/>
      <c r="E63" s="100"/>
      <c r="F63" s="100"/>
      <c r="G63" s="100"/>
      <c r="H63" s="100"/>
      <c r="I63" s="164">
        <f>I62/$D62</f>
        <v>0.55109978571427987</v>
      </c>
      <c r="J63" s="164">
        <f>J62/$D62</f>
        <v>0.22895100004144761</v>
      </c>
      <c r="K63" s="164">
        <f>K62/$D62</f>
        <v>0.21687721420192618</v>
      </c>
      <c r="L63" s="164">
        <f>L62/$D62</f>
        <v>3.0720000423462182E-3</v>
      </c>
    </row>
    <row r="64" spans="1:12" ht="12" customHeight="1" outlineLevel="1">
      <c r="B64" s="161" t="s">
        <v>182</v>
      </c>
    </row>
    <row r="65" spans="1:12" ht="12" customHeight="1" outlineLevel="1">
      <c r="I65" s="166"/>
      <c r="J65" s="166"/>
      <c r="K65" s="166"/>
      <c r="L65" s="166"/>
    </row>
    <row r="66" spans="1:12" ht="12" customHeight="1" outlineLevel="1">
      <c r="B66" s="70" t="str">
        <f>'Name labels'!$C$10</f>
        <v>Load group Streetlighting</v>
      </c>
      <c r="C66" s="118"/>
      <c r="D66" s="82">
        <f>D56/D$62</f>
        <v>6.1028936127911597E-3</v>
      </c>
      <c r="I66" s="82">
        <f>IF(I$62=0,0,I56/I$62)</f>
        <v>3.2015780848731841E-3</v>
      </c>
      <c r="J66" s="82">
        <f>IF(J$62=0,0,J56/J$62)</f>
        <v>4.8461040790235086E-3</v>
      </c>
      <c r="K66" s="82">
        <f>IF(K$62=0,0,K56/K$62)</f>
        <v>4.7204763939416496E-3</v>
      </c>
      <c r="L66" s="82">
        <f>IF(L$62=0,0,L56/L$62)</f>
        <v>0.71784519552428183</v>
      </c>
    </row>
    <row r="67" spans="1:12" ht="12" customHeight="1" outlineLevel="1">
      <c r="B67" s="70" t="str">
        <f>'Name labels'!$C$11</f>
        <v>Load group 1 (incl residential)</v>
      </c>
      <c r="C67" s="118"/>
      <c r="D67" s="82">
        <f t="shared" ref="D67:D72" si="7">D57/D$62</f>
        <v>0.63967552756260782</v>
      </c>
      <c r="I67" s="82">
        <f t="shared" ref="I67:L71" si="8">IF(I$62=0,0,I57/I$62)</f>
        <v>0.63455612010654472</v>
      </c>
      <c r="J67" s="82">
        <f t="shared" si="8"/>
        <v>0.68207637992465542</v>
      </c>
      <c r="K67" s="82">
        <f t="shared" si="8"/>
        <v>0.61307697775134373</v>
      </c>
      <c r="L67" s="82">
        <f t="shared" si="8"/>
        <v>0.27581035874956755</v>
      </c>
    </row>
    <row r="68" spans="1:12" ht="12" customHeight="1" outlineLevel="1">
      <c r="B68" s="70" t="str">
        <f>'Name labels'!$C$12</f>
        <v>Load group 2</v>
      </c>
      <c r="C68" s="118"/>
      <c r="D68" s="82">
        <f t="shared" si="7"/>
        <v>0.16267458344189978</v>
      </c>
      <c r="I68" s="82">
        <f t="shared" si="8"/>
        <v>0.14516923716117536</v>
      </c>
      <c r="J68" s="82">
        <f t="shared" si="8"/>
        <v>0.1662170361221256</v>
      </c>
      <c r="K68" s="82">
        <f t="shared" si="8"/>
        <v>0.20563156591878162</v>
      </c>
      <c r="L68" s="82">
        <f t="shared" si="8"/>
        <v>6.3444457261506507E-3</v>
      </c>
    </row>
    <row r="69" spans="1:12" ht="12" customHeight="1" outlineLevel="1">
      <c r="B69" s="70" t="str">
        <f>'Name labels'!$C$13</f>
        <v>Load group 3</v>
      </c>
      <c r="C69" s="118"/>
      <c r="D69" s="82">
        <f t="shared" si="7"/>
        <v>7.8851185496504411E-2</v>
      </c>
      <c r="I69" s="82">
        <f t="shared" si="8"/>
        <v>8.7460708544873131E-2</v>
      </c>
      <c r="J69" s="82">
        <f t="shared" si="8"/>
        <v>6.9908649932051994E-2</v>
      </c>
      <c r="K69" s="82">
        <f t="shared" si="8"/>
        <v>6.753107973748991E-2</v>
      </c>
      <c r="L69" s="82">
        <f t="shared" si="8"/>
        <v>0</v>
      </c>
    </row>
    <row r="70" spans="1:12" ht="12" customHeight="1" outlineLevel="1">
      <c r="B70" s="70" t="str">
        <f>'Name labels'!$C$14</f>
        <v>Load group 4</v>
      </c>
      <c r="C70" s="118"/>
      <c r="D70" s="82">
        <f t="shared" si="7"/>
        <v>9.0070435290023412E-2</v>
      </c>
      <c r="I70" s="82">
        <f t="shared" si="8"/>
        <v>9.2655026566951584E-2</v>
      </c>
      <c r="J70" s="82">
        <f t="shared" si="8"/>
        <v>7.5384701107901617E-2</v>
      </c>
      <c r="K70" s="82">
        <f t="shared" si="8"/>
        <v>0.10028193776454647</v>
      </c>
      <c r="L70" s="82">
        <f t="shared" si="8"/>
        <v>0</v>
      </c>
    </row>
    <row r="71" spans="1:12" ht="12" customHeight="1" outlineLevel="1">
      <c r="B71" s="70" t="str">
        <f>'Name labels'!$C$15</f>
        <v>Load group 5</v>
      </c>
      <c r="C71" s="118"/>
      <c r="D71" s="82">
        <f t="shared" si="7"/>
        <v>2.2625374596173274E-2</v>
      </c>
      <c r="I71" s="82">
        <f>IF(I$62=0,0,I61/I$62)</f>
        <v>3.6957329535581875E-2</v>
      </c>
      <c r="J71" s="82">
        <f t="shared" si="8"/>
        <v>1.5671288342418723E-3</v>
      </c>
      <c r="K71" s="82">
        <f t="shared" si="8"/>
        <v>8.7579624338965864E-3</v>
      </c>
      <c r="L71" s="82">
        <f t="shared" si="8"/>
        <v>0</v>
      </c>
    </row>
    <row r="72" spans="1:12" ht="12" customHeight="1" outlineLevel="1">
      <c r="B72" s="88" t="s">
        <v>7</v>
      </c>
      <c r="C72" s="163"/>
      <c r="D72" s="167">
        <f t="shared" si="7"/>
        <v>1</v>
      </c>
      <c r="E72" s="88"/>
      <c r="F72" s="88"/>
      <c r="G72" s="88"/>
      <c r="H72" s="88"/>
      <c r="I72" s="167">
        <f>SUM(I66:I71)</f>
        <v>0.99999999999999978</v>
      </c>
      <c r="J72" s="167">
        <f>SUM(J66:J71)</f>
        <v>1</v>
      </c>
      <c r="K72" s="167">
        <f>SUM(K66:K71)</f>
        <v>1</v>
      </c>
      <c r="L72" s="167">
        <f>SUM(L66:L71)</f>
        <v>1</v>
      </c>
    </row>
    <row r="73" spans="1:12" ht="12" customHeight="1" outlineLevel="1"/>
    <row r="74" spans="1:12" ht="12" customHeight="1" outlineLevel="1"/>
    <row r="75" spans="1:12" ht="12" customHeight="1">
      <c r="C75" s="92"/>
    </row>
    <row r="76" spans="1:12" ht="12" customHeight="1">
      <c r="A76" s="70">
        <v>5</v>
      </c>
      <c r="B76" s="160" t="str">
        <f>'Name labels'!B51</f>
        <v>Transpower connection and interconnection</v>
      </c>
      <c r="C76" s="77" t="s">
        <v>178</v>
      </c>
      <c r="D76" s="77" t="s">
        <v>7</v>
      </c>
      <c r="E76" s="95"/>
      <c r="F76" s="95"/>
      <c r="G76" s="95"/>
      <c r="H76" s="95"/>
      <c r="I76" s="95"/>
      <c r="J76" s="95"/>
      <c r="K76" s="95"/>
      <c r="L76" s="95"/>
    </row>
    <row r="77" spans="1:12" ht="12" customHeight="1" outlineLevel="1"/>
    <row r="78" spans="1:12" ht="12" customHeight="1" outlineLevel="1">
      <c r="B78" s="161" t="s">
        <v>179</v>
      </c>
    </row>
    <row r="79" spans="1:12" ht="12" customHeight="1" outlineLevel="1">
      <c r="I79" s="155" t="str">
        <f>'Target Revenue'!K27</f>
        <v>Annual Price-Setting Compliance Statement - Table 6</v>
      </c>
      <c r="J79" s="172"/>
      <c r="K79" s="172"/>
      <c r="L79" s="172"/>
    </row>
    <row r="80" spans="1:12" ht="12" customHeight="1" outlineLevel="1">
      <c r="B80" s="88" t="s">
        <v>7</v>
      </c>
      <c r="C80" s="118" t="s">
        <v>186</v>
      </c>
      <c r="D80" s="169">
        <f>SUM(I80:L80)</f>
        <v>22660304</v>
      </c>
      <c r="E80" s="88"/>
      <c r="F80" s="88"/>
      <c r="G80" s="88"/>
      <c r="H80" s="88"/>
      <c r="I80" s="173">
        <v>13111751</v>
      </c>
      <c r="J80" s="173">
        <v>3584466</v>
      </c>
      <c r="K80" s="173">
        <v>5964087</v>
      </c>
      <c r="L80" s="173">
        <v>0</v>
      </c>
    </row>
    <row r="81" spans="1:12" ht="12" customHeight="1" outlineLevel="1">
      <c r="B81" s="88"/>
      <c r="C81" s="118"/>
      <c r="D81" s="88"/>
      <c r="E81" s="88"/>
      <c r="F81" s="88"/>
      <c r="G81" s="88"/>
      <c r="H81" s="88"/>
      <c r="I81" s="164">
        <f>I80/$D$80</f>
        <v>0.5786220255474066</v>
      </c>
      <c r="J81" s="164">
        <f t="shared" ref="J81:L81" si="9">J80/$D$80</f>
        <v>0.15818260867109285</v>
      </c>
      <c r="K81" s="164">
        <f t="shared" si="9"/>
        <v>0.26319536578150055</v>
      </c>
      <c r="L81" s="164">
        <f t="shared" si="9"/>
        <v>0</v>
      </c>
    </row>
    <row r="82" spans="1:12" ht="12" customHeight="1" outlineLevel="1"/>
    <row r="83" spans="1:12" ht="12" customHeight="1">
      <c r="C83" s="92"/>
    </row>
    <row r="84" spans="1:12" ht="12" customHeight="1">
      <c r="A84" s="70">
        <v>6</v>
      </c>
      <c r="B84" s="160" t="str">
        <f>'Name labels'!B52</f>
        <v>Transpower new investment contract</v>
      </c>
      <c r="C84" s="77" t="s">
        <v>178</v>
      </c>
      <c r="D84" s="77" t="s">
        <v>7</v>
      </c>
      <c r="E84" s="95"/>
      <c r="F84" s="95"/>
      <c r="G84" s="95"/>
      <c r="H84" s="95"/>
      <c r="I84" s="95"/>
      <c r="J84" s="95"/>
      <c r="K84" s="95"/>
      <c r="L84" s="95"/>
    </row>
    <row r="85" spans="1:12" ht="12" customHeight="1" outlineLevel="1"/>
    <row r="86" spans="1:12" ht="12" customHeight="1" outlineLevel="1">
      <c r="B86" s="161" t="s">
        <v>179</v>
      </c>
    </row>
    <row r="87" spans="1:12" ht="12" customHeight="1" outlineLevel="1">
      <c r="I87" s="155" t="str">
        <f>I79</f>
        <v>Annual Price-Setting Compliance Statement - Table 6</v>
      </c>
    </row>
    <row r="88" spans="1:12" ht="12" customHeight="1" outlineLevel="1">
      <c r="B88" s="88" t="s">
        <v>7</v>
      </c>
      <c r="C88" s="118" t="s">
        <v>186</v>
      </c>
      <c r="D88" s="169">
        <f>SUM(I88:L88)</f>
        <v>520482</v>
      </c>
      <c r="E88" s="88"/>
      <c r="F88" s="88"/>
      <c r="G88" s="88"/>
      <c r="H88" s="88"/>
      <c r="I88" s="173">
        <v>45279</v>
      </c>
      <c r="J88" s="173">
        <v>475203</v>
      </c>
      <c r="K88" s="173">
        <v>0</v>
      </c>
      <c r="L88" s="173">
        <v>0</v>
      </c>
    </row>
    <row r="89" spans="1:12" ht="12" customHeight="1" outlineLevel="1">
      <c r="B89" s="88"/>
      <c r="C89" s="118"/>
      <c r="D89" s="88"/>
      <c r="E89" s="88"/>
      <c r="F89" s="88"/>
      <c r="G89" s="88"/>
      <c r="H89" s="88"/>
      <c r="I89" s="164">
        <f>I88/$D$88</f>
        <v>8.6994362917449594E-2</v>
      </c>
      <c r="J89" s="164">
        <f t="shared" ref="J89:L89" si="10">J88/$D$88</f>
        <v>0.91300563708255045</v>
      </c>
      <c r="K89" s="164">
        <f t="shared" si="10"/>
        <v>0</v>
      </c>
      <c r="L89" s="164">
        <f t="shared" si="10"/>
        <v>0</v>
      </c>
    </row>
    <row r="90" spans="1:12" ht="12" customHeight="1" outlineLevel="1"/>
    <row r="92" spans="1:12" ht="12.75" customHeight="1">
      <c r="A92" s="70">
        <v>7</v>
      </c>
      <c r="B92" s="160" t="str">
        <f>'Name labels'!B53</f>
        <v>Distributed Generation Allowance</v>
      </c>
      <c r="C92" s="77" t="s">
        <v>178</v>
      </c>
      <c r="D92" s="77" t="s">
        <v>7</v>
      </c>
      <c r="E92" s="95"/>
      <c r="F92" s="95"/>
      <c r="G92" s="95"/>
      <c r="H92" s="95"/>
      <c r="I92" s="95"/>
      <c r="J92" s="95"/>
      <c r="K92" s="95"/>
      <c r="L92" s="95"/>
    </row>
    <row r="93" spans="1:12" ht="12" customHeight="1" outlineLevel="1"/>
    <row r="94" spans="1:12" ht="12" customHeight="1" outlineLevel="1">
      <c r="B94" s="161" t="s">
        <v>179</v>
      </c>
    </row>
    <row r="95" spans="1:12" ht="12" customHeight="1" outlineLevel="1">
      <c r="I95" s="174" t="s">
        <v>187</v>
      </c>
    </row>
    <row r="96" spans="1:12" ht="12" customHeight="1" outlineLevel="1">
      <c r="B96" s="88" t="s">
        <v>7</v>
      </c>
      <c r="C96" s="118" t="s">
        <v>186</v>
      </c>
      <c r="D96" s="169">
        <f>SUM(I96:L96)</f>
        <v>4954600</v>
      </c>
      <c r="I96" s="175">
        <v>4481164</v>
      </c>
      <c r="J96" s="175">
        <v>309956</v>
      </c>
      <c r="K96" s="175">
        <v>163480</v>
      </c>
      <c r="L96" s="175">
        <v>0</v>
      </c>
    </row>
    <row r="97" spans="1:12" ht="12" customHeight="1" outlineLevel="1">
      <c r="B97" s="88"/>
      <c r="C97" s="118"/>
      <c r="D97" s="88"/>
      <c r="E97" s="88"/>
      <c r="F97" s="88"/>
      <c r="G97" s="88"/>
      <c r="H97" s="88"/>
      <c r="I97" s="164">
        <f>I96/$D$96</f>
        <v>0.90444516207161019</v>
      </c>
      <c r="J97" s="164">
        <f t="shared" ref="J97:L97" si="11">J96/$D$96</f>
        <v>6.255923787994995E-2</v>
      </c>
      <c r="K97" s="164">
        <f t="shared" si="11"/>
        <v>3.2995600048439835E-2</v>
      </c>
      <c r="L97" s="164">
        <f t="shared" si="11"/>
        <v>0</v>
      </c>
    </row>
    <row r="100" spans="1:12" ht="12" customHeight="1">
      <c r="A100" s="70">
        <v>8</v>
      </c>
      <c r="B100" s="160" t="str">
        <f>'Name labels'!B54</f>
        <v>Prior year distribution revenue</v>
      </c>
      <c r="C100" s="77" t="s">
        <v>178</v>
      </c>
      <c r="D100" s="77" t="s">
        <v>7</v>
      </c>
      <c r="E100" s="95"/>
      <c r="F100" s="95"/>
      <c r="G100" s="95"/>
      <c r="H100" s="95"/>
      <c r="I100" s="95"/>
      <c r="J100" s="95"/>
      <c r="K100" s="95"/>
      <c r="L100" s="95"/>
    </row>
    <row r="101" spans="1:12" ht="12" customHeight="1" outlineLevel="1">
      <c r="I101" s="155"/>
    </row>
    <row r="102" spans="1:12" ht="12" customHeight="1" outlineLevel="1">
      <c r="B102" s="161" t="s">
        <v>179</v>
      </c>
    </row>
    <row r="103" spans="1:12" ht="12" customHeight="1" outlineLevel="1">
      <c r="I103" s="155" t="s">
        <v>188</v>
      </c>
    </row>
    <row r="104" spans="1:12" ht="12" customHeight="1" outlineLevel="1">
      <c r="B104" s="70" t="str">
        <f>'Name labels'!$C$10</f>
        <v>Load group Streetlighting</v>
      </c>
      <c r="C104" s="118" t="s">
        <v>186</v>
      </c>
      <c r="D104" s="87">
        <f>SUM(I104:L104)</f>
        <v>586298.21</v>
      </c>
      <c r="I104" s="175">
        <v>413610.7</v>
      </c>
      <c r="J104" s="175">
        <v>121010.3</v>
      </c>
      <c r="K104" s="175">
        <v>50028.32</v>
      </c>
      <c r="L104" s="175">
        <v>1648.8899999999999</v>
      </c>
    </row>
    <row r="105" spans="1:12" ht="12" customHeight="1" outlineLevel="1">
      <c r="B105" s="70" t="str">
        <f>'Name labels'!$C$11</f>
        <v>Load group 1 (incl residential)</v>
      </c>
      <c r="C105" s="118" t="s">
        <v>186</v>
      </c>
      <c r="D105" s="87">
        <f t="shared" ref="D105:D108" si="12">SUM(I105:L105)</f>
        <v>57013617.030000009</v>
      </c>
      <c r="I105" s="175">
        <v>28723073.040000003</v>
      </c>
      <c r="J105" s="175">
        <v>19400514.180000003</v>
      </c>
      <c r="K105" s="175">
        <v>8788133.9699999969</v>
      </c>
      <c r="L105" s="175">
        <v>101895.84</v>
      </c>
    </row>
    <row r="106" spans="1:12" ht="12" customHeight="1" outlineLevel="1">
      <c r="B106" s="70" t="str">
        <f>'Name labels'!$C$12</f>
        <v>Load group 2</v>
      </c>
      <c r="C106" s="118" t="s">
        <v>186</v>
      </c>
      <c r="D106" s="87">
        <f t="shared" si="12"/>
        <v>15693157.48</v>
      </c>
      <c r="I106" s="175">
        <v>7285250.9699999997</v>
      </c>
      <c r="J106" s="175">
        <v>5069172.3899999997</v>
      </c>
      <c r="K106" s="175">
        <v>3334410.07</v>
      </c>
      <c r="L106" s="175">
        <v>4324.05</v>
      </c>
    </row>
    <row r="107" spans="1:12" ht="12" customHeight="1" outlineLevel="1">
      <c r="B107" s="70" t="str">
        <f>'Name labels'!$C$13</f>
        <v>Load group 3</v>
      </c>
      <c r="C107" s="118" t="s">
        <v>186</v>
      </c>
      <c r="D107" s="87">
        <f t="shared" si="12"/>
        <v>7178897.2199999997</v>
      </c>
      <c r="I107" s="175">
        <v>3370998.38</v>
      </c>
      <c r="J107" s="175">
        <v>2586777.83</v>
      </c>
      <c r="K107" s="175">
        <v>1221121.0099999998</v>
      </c>
      <c r="L107" s="175"/>
    </row>
    <row r="108" spans="1:12" ht="12" customHeight="1" outlineLevel="1">
      <c r="B108" s="70" t="str">
        <f>'Name labels'!$C$14</f>
        <v>Load group 4</v>
      </c>
      <c r="C108" s="118" t="s">
        <v>186</v>
      </c>
      <c r="D108" s="87">
        <f t="shared" si="12"/>
        <v>5437505.3000000007</v>
      </c>
      <c r="I108" s="175">
        <v>2453665.37</v>
      </c>
      <c r="J108" s="175">
        <v>1911905.4100000001</v>
      </c>
      <c r="K108" s="175">
        <v>1071934.52</v>
      </c>
      <c r="L108" s="175"/>
    </row>
    <row r="109" spans="1:12" ht="12" customHeight="1" outlineLevel="1">
      <c r="B109" s="70" t="str">
        <f>'Name labels'!$C$15</f>
        <v>Load group 5</v>
      </c>
      <c r="C109" s="118" t="s">
        <v>186</v>
      </c>
      <c r="D109" s="87">
        <f>SUM(I109:L109)</f>
        <v>862837.74</v>
      </c>
      <c r="I109" s="175">
        <v>668811.67999999993</v>
      </c>
      <c r="J109" s="175">
        <v>155024.06</v>
      </c>
      <c r="K109" s="175">
        <v>39002</v>
      </c>
      <c r="L109" s="175"/>
    </row>
    <row r="110" spans="1:12" ht="12" customHeight="1" outlineLevel="1">
      <c r="B110" s="88" t="s">
        <v>7</v>
      </c>
      <c r="C110" s="163"/>
      <c r="D110" s="88">
        <f>SUM(I110:L110)</f>
        <v>86772312.980000004</v>
      </c>
      <c r="E110" s="88"/>
      <c r="F110" s="88"/>
      <c r="G110" s="88"/>
      <c r="H110" s="88"/>
      <c r="I110" s="88">
        <f>SUM(I104:I109)</f>
        <v>42915410.140000001</v>
      </c>
      <c r="J110" s="88">
        <f>SUM(J104:J109)</f>
        <v>29244404.170000002</v>
      </c>
      <c r="K110" s="88">
        <f>SUM(K104:K109)</f>
        <v>14504629.889999997</v>
      </c>
      <c r="L110" s="88">
        <f>SUM(L104:L109)</f>
        <v>107868.78</v>
      </c>
    </row>
    <row r="111" spans="1:12" ht="12" customHeight="1" outlineLevel="1">
      <c r="I111" s="164">
        <f>I110/$D$110</f>
        <v>0.49457492449108159</v>
      </c>
      <c r="J111" s="164">
        <f t="shared" ref="J111:L111" si="13">J110/$D$110</f>
        <v>0.33702460111603216</v>
      </c>
      <c r="K111" s="164">
        <f t="shared" si="13"/>
        <v>0.16715734998723777</v>
      </c>
      <c r="L111" s="164">
        <f t="shared" si="13"/>
        <v>1.2431244056484063E-3</v>
      </c>
    </row>
    <row r="112" spans="1:12" ht="12" customHeight="1" outlineLevel="1">
      <c r="B112" s="161" t="s">
        <v>182</v>
      </c>
    </row>
    <row r="113" spans="1:12" ht="12" customHeight="1" outlineLevel="1">
      <c r="I113" s="166"/>
      <c r="J113" s="166"/>
      <c r="K113" s="166"/>
      <c r="L113" s="166"/>
    </row>
    <row r="114" spans="1:12" ht="12" customHeight="1" outlineLevel="1">
      <c r="B114" s="70" t="str">
        <f>'Name labels'!$C$10</f>
        <v>Load group Streetlighting</v>
      </c>
      <c r="C114" s="118"/>
      <c r="D114" s="82">
        <f>D104/D$110</f>
        <v>6.7567429041004677E-3</v>
      </c>
      <c r="I114" s="82">
        <f t="shared" ref="I114:L119" si="14">IF(I$110=0,0,I104/I$110)</f>
        <v>9.6378130524840885E-3</v>
      </c>
      <c r="J114" s="82">
        <f t="shared" si="14"/>
        <v>4.1378958961364948E-3</v>
      </c>
      <c r="K114" s="82">
        <f t="shared" si="14"/>
        <v>3.449127649543908E-3</v>
      </c>
      <c r="L114" s="82">
        <f t="shared" si="14"/>
        <v>1.5286072578182491E-2</v>
      </c>
    </row>
    <row r="115" spans="1:12" ht="12" customHeight="1" outlineLevel="1">
      <c r="B115" s="70" t="str">
        <f>'Name labels'!$C$11</f>
        <v>Load group 1 (incl residential)</v>
      </c>
      <c r="C115" s="118"/>
      <c r="D115" s="82">
        <f t="shared" ref="D115:D120" si="15">D105/D$110</f>
        <v>0.65704848784128844</v>
      </c>
      <c r="I115" s="82">
        <f t="shared" si="14"/>
        <v>0.66929508412709304</v>
      </c>
      <c r="J115" s="82">
        <f t="shared" si="14"/>
        <v>0.66339235592639545</v>
      </c>
      <c r="K115" s="82">
        <f t="shared" si="14"/>
        <v>0.60588474415737048</v>
      </c>
      <c r="L115" s="82">
        <f t="shared" si="14"/>
        <v>0.94462772268305994</v>
      </c>
    </row>
    <row r="116" spans="1:12" ht="12" customHeight="1" outlineLevel="1">
      <c r="B116" s="70" t="str">
        <f>'Name labels'!$C$12</f>
        <v>Load group 2</v>
      </c>
      <c r="C116" s="118"/>
      <c r="D116" s="82">
        <f t="shared" si="15"/>
        <v>0.18085443318327918</v>
      </c>
      <c r="I116" s="82">
        <f t="shared" si="14"/>
        <v>0.16975839089580699</v>
      </c>
      <c r="J116" s="82">
        <f t="shared" si="14"/>
        <v>0.17333820037954972</v>
      </c>
      <c r="K116" s="82">
        <f t="shared" si="14"/>
        <v>0.22988591196655489</v>
      </c>
      <c r="L116" s="82">
        <f t="shared" si="14"/>
        <v>4.008620473875759E-2</v>
      </c>
    </row>
    <row r="117" spans="1:12" ht="12" customHeight="1" outlineLevel="1">
      <c r="B117" s="70" t="str">
        <f>'Name labels'!$C$13</f>
        <v>Load group 3</v>
      </c>
      <c r="C117" s="118"/>
      <c r="D117" s="82">
        <f t="shared" si="15"/>
        <v>8.273257878529354E-2</v>
      </c>
      <c r="I117" s="82">
        <f t="shared" si="14"/>
        <v>7.8549834872905164E-2</v>
      </c>
      <c r="J117" s="82">
        <f t="shared" si="14"/>
        <v>8.8453771017623029E-2</v>
      </c>
      <c r="K117" s="82">
        <f t="shared" si="14"/>
        <v>8.4188360493216277E-2</v>
      </c>
      <c r="L117" s="82">
        <f t="shared" si="14"/>
        <v>0</v>
      </c>
    </row>
    <row r="118" spans="1:12" ht="12" customHeight="1" outlineLevel="1">
      <c r="B118" s="70" t="str">
        <f>'Name labels'!$C$14</f>
        <v>Load group 4</v>
      </c>
      <c r="C118" s="118"/>
      <c r="D118" s="82">
        <f t="shared" si="15"/>
        <v>6.2664058537350298E-2</v>
      </c>
      <c r="I118" s="82">
        <f t="shared" si="14"/>
        <v>5.7174459290860222E-2</v>
      </c>
      <c r="J118" s="82">
        <f t="shared" si="14"/>
        <v>6.5376794783916434E-2</v>
      </c>
      <c r="K118" s="82">
        <f t="shared" si="14"/>
        <v>7.3902921214075892E-2</v>
      </c>
      <c r="L118" s="82">
        <f t="shared" si="14"/>
        <v>0</v>
      </c>
    </row>
    <row r="119" spans="1:12" ht="12" customHeight="1" outlineLevel="1">
      <c r="B119" s="70" t="str">
        <f>'Name labels'!$C$15</f>
        <v>Load group 5</v>
      </c>
      <c r="C119" s="118"/>
      <c r="D119" s="82">
        <f t="shared" si="15"/>
        <v>9.943698748688121E-3</v>
      </c>
      <c r="I119" s="82">
        <f t="shared" si="14"/>
        <v>1.5584417760850507E-2</v>
      </c>
      <c r="J119" s="82">
        <f t="shared" si="14"/>
        <v>5.3009819963789669E-3</v>
      </c>
      <c r="K119" s="82">
        <f t="shared" si="14"/>
        <v>2.6889345192385333E-3</v>
      </c>
      <c r="L119" s="82">
        <f t="shared" si="14"/>
        <v>0</v>
      </c>
    </row>
    <row r="120" spans="1:12" ht="12" customHeight="1" outlineLevel="1">
      <c r="B120" s="88" t="s">
        <v>7</v>
      </c>
      <c r="C120" s="163"/>
      <c r="D120" s="167">
        <f t="shared" si="15"/>
        <v>1</v>
      </c>
      <c r="E120" s="88"/>
      <c r="F120" s="88"/>
      <c r="G120" s="88"/>
      <c r="H120" s="88"/>
      <c r="I120" s="167">
        <f t="shared" ref="I120:J120" si="16">SUM(I114:I119)</f>
        <v>1</v>
      </c>
      <c r="J120" s="167">
        <f t="shared" si="16"/>
        <v>1.0000000000000002</v>
      </c>
      <c r="K120" s="167">
        <f>SUM(K114:K119)</f>
        <v>1</v>
      </c>
      <c r="L120" s="167">
        <f>SUM(L114:L119)</f>
        <v>1</v>
      </c>
    </row>
    <row r="121" spans="1:12" ht="12" customHeight="1" outlineLevel="1"/>
    <row r="124" spans="1:12" ht="15" customHeight="1">
      <c r="A124" s="70">
        <v>9</v>
      </c>
      <c r="B124" s="160" t="str">
        <f>'Name labels'!B55</f>
        <v>MWh</v>
      </c>
      <c r="C124" s="77" t="s">
        <v>178</v>
      </c>
      <c r="D124" s="95" t="s">
        <v>7</v>
      </c>
      <c r="E124" s="95"/>
      <c r="F124" s="95"/>
      <c r="G124" s="95"/>
      <c r="H124" s="95"/>
      <c r="I124" s="95"/>
      <c r="J124" s="95"/>
      <c r="K124" s="95"/>
      <c r="L124" s="95"/>
    </row>
    <row r="125" spans="1:12" ht="12" customHeight="1" outlineLevel="1"/>
    <row r="126" spans="1:12" ht="12" customHeight="1" outlineLevel="1">
      <c r="B126" s="161" t="s">
        <v>179</v>
      </c>
    </row>
    <row r="127" spans="1:12" ht="12" customHeight="1" outlineLevel="1">
      <c r="I127" s="155" t="str">
        <f>I15</f>
        <v>Information Disclosure 2021 - Schedule 8 (excluding Load group 0, Load Group 0A, and Distributed Generation)</v>
      </c>
    </row>
    <row r="128" spans="1:12" ht="12" customHeight="1" outlineLevel="1">
      <c r="B128" s="70" t="str">
        <f>'Name labels'!$C$10</f>
        <v>Load group Streetlighting</v>
      </c>
      <c r="C128" s="118" t="s">
        <v>52</v>
      </c>
      <c r="D128" s="87">
        <f>SUM(I128:L128)</f>
        <v>8291</v>
      </c>
      <c r="I128" s="175">
        <v>6204</v>
      </c>
      <c r="J128" s="175">
        <v>1186</v>
      </c>
      <c r="K128" s="175">
        <v>893</v>
      </c>
      <c r="L128" s="175">
        <f>8291-SUM(I128:K128)</f>
        <v>8</v>
      </c>
    </row>
    <row r="129" spans="2:12" ht="12" customHeight="1" outlineLevel="1">
      <c r="B129" s="70" t="str">
        <f>'Name labels'!$C$11</f>
        <v>Load group 1 (incl residential)</v>
      </c>
      <c r="C129" s="118" t="s">
        <v>52</v>
      </c>
      <c r="D129" s="87">
        <f t="shared" ref="D129:D133" si="17">SUM(I129:L129)</f>
        <v>672601</v>
      </c>
      <c r="I129" s="175">
        <f>408722+1263+20380</f>
        <v>430365</v>
      </c>
      <c r="J129" s="175">
        <f>121656+988+12158</f>
        <v>134802</v>
      </c>
      <c r="K129" s="175">
        <f>97957+536+8169</f>
        <v>106662</v>
      </c>
      <c r="L129" s="175">
        <f>(629103+2791+40707)-SUM(I129:K129)</f>
        <v>772</v>
      </c>
    </row>
    <row r="130" spans="2:12" ht="12" customHeight="1" outlineLevel="1">
      <c r="B130" s="70" t="str">
        <f>'Name labels'!$C$12</f>
        <v>Load group 2</v>
      </c>
      <c r="C130" s="118" t="s">
        <v>52</v>
      </c>
      <c r="D130" s="87">
        <f t="shared" si="17"/>
        <v>255233</v>
      </c>
      <c r="I130" s="175">
        <f>126201</f>
        <v>126201</v>
      </c>
      <c r="J130" s="175">
        <f>69973+132</f>
        <v>70105</v>
      </c>
      <c r="K130" s="175">
        <v>58891</v>
      </c>
      <c r="L130" s="175">
        <f>(255101+132)-SUM(I130:K130)</f>
        <v>36</v>
      </c>
    </row>
    <row r="131" spans="2:12" ht="12" customHeight="1" outlineLevel="1">
      <c r="B131" s="70" t="str">
        <f>'Name labels'!$C$13</f>
        <v>Load group 3</v>
      </c>
      <c r="C131" s="118" t="s">
        <v>52</v>
      </c>
      <c r="D131" s="87">
        <f>SUM(I131:L131)</f>
        <v>136451</v>
      </c>
      <c r="I131" s="175">
        <f>28982+47506</f>
        <v>76488</v>
      </c>
      <c r="J131" s="175">
        <f>17522+498+20183+1398</f>
        <v>39601</v>
      </c>
      <c r="K131" s="175">
        <f>8486+11876</f>
        <v>20362</v>
      </c>
      <c r="L131" s="175">
        <v>0</v>
      </c>
    </row>
    <row r="132" spans="2:12" ht="12" customHeight="1" outlineLevel="1">
      <c r="B132" s="70" t="str">
        <f>'Name labels'!$C$14</f>
        <v>Load group 4</v>
      </c>
      <c r="C132" s="118" t="s">
        <v>52</v>
      </c>
      <c r="D132" s="87">
        <f t="shared" si="17"/>
        <v>163935</v>
      </c>
      <c r="I132" s="175">
        <f>97587</f>
        <v>97587</v>
      </c>
      <c r="J132" s="175">
        <f>31102</f>
        <v>31102</v>
      </c>
      <c r="K132" s="175">
        <f>31882+3364</f>
        <v>35246</v>
      </c>
      <c r="L132" s="175">
        <v>0</v>
      </c>
    </row>
    <row r="133" spans="2:12" ht="12" customHeight="1" outlineLevel="1">
      <c r="B133" s="70" t="str">
        <f>'Name labels'!$C$15</f>
        <v>Load group 5</v>
      </c>
      <c r="C133" s="118" t="s">
        <v>52</v>
      </c>
      <c r="D133" s="87">
        <f t="shared" si="17"/>
        <v>63861</v>
      </c>
      <c r="I133" s="175">
        <v>46799</v>
      </c>
      <c r="J133" s="175">
        <v>8633</v>
      </c>
      <c r="K133" s="175">
        <f>2814+5615</f>
        <v>8429</v>
      </c>
      <c r="L133" s="175">
        <v>0</v>
      </c>
    </row>
    <row r="134" spans="2:12" ht="12" customHeight="1" outlineLevel="1">
      <c r="B134" s="88" t="s">
        <v>7</v>
      </c>
      <c r="D134" s="88">
        <f>SUM(I134:L134)</f>
        <v>1300372</v>
      </c>
      <c r="E134" s="88"/>
      <c r="F134" s="88"/>
      <c r="G134" s="88"/>
      <c r="H134" s="88"/>
      <c r="I134" s="88">
        <f>SUM(I128:I133)</f>
        <v>783644</v>
      </c>
      <c r="J134" s="88">
        <f>SUM(J128:J133)</f>
        <v>285429</v>
      </c>
      <c r="K134" s="88">
        <f>SUM(K128:K133)</f>
        <v>230483</v>
      </c>
      <c r="L134" s="88">
        <f>SUM(L128:L133)</f>
        <v>816</v>
      </c>
    </row>
    <row r="135" spans="2:12" ht="12" customHeight="1" outlineLevel="1">
      <c r="I135" s="164">
        <f>I134/$D$134</f>
        <v>0.60263063184996291</v>
      </c>
      <c r="J135" s="164">
        <f t="shared" ref="J135:L135" si="18">J134/$D$134</f>
        <v>0.21949795904556543</v>
      </c>
      <c r="K135" s="164">
        <f t="shared" si="18"/>
        <v>0.17724389636196411</v>
      </c>
      <c r="L135" s="164">
        <f t="shared" si="18"/>
        <v>6.2751274250752865E-4</v>
      </c>
    </row>
    <row r="136" spans="2:12" ht="12" customHeight="1" outlineLevel="1">
      <c r="B136" s="161" t="s">
        <v>182</v>
      </c>
    </row>
    <row r="137" spans="2:12" ht="12" customHeight="1" outlineLevel="1">
      <c r="I137" s="166"/>
      <c r="J137" s="166"/>
      <c r="K137" s="166"/>
      <c r="L137" s="166"/>
    </row>
    <row r="138" spans="2:12" ht="12" customHeight="1" outlineLevel="1">
      <c r="B138" s="70" t="str">
        <f>'Name labels'!$C$10</f>
        <v>Load group Streetlighting</v>
      </c>
      <c r="C138" s="118"/>
      <c r="D138" s="82">
        <f>D128/D$134</f>
        <v>6.375867828590588E-3</v>
      </c>
      <c r="I138" s="82">
        <f t="shared" ref="I138:L143" si="19">IFERROR((I128/I$134),0)</f>
        <v>7.9168602069306978E-3</v>
      </c>
      <c r="J138" s="82">
        <f t="shared" si="19"/>
        <v>4.1551489161928187E-3</v>
      </c>
      <c r="K138" s="82">
        <f t="shared" si="19"/>
        <v>3.8744723038141643E-3</v>
      </c>
      <c r="L138" s="82">
        <f t="shared" si="19"/>
        <v>9.8039215686274508E-3</v>
      </c>
    </row>
    <row r="139" spans="2:12" ht="12" customHeight="1" outlineLevel="1">
      <c r="B139" s="70" t="str">
        <f>'Name labels'!$C$11</f>
        <v>Load group 1 (incl residential)</v>
      </c>
      <c r="C139" s="118"/>
      <c r="D139" s="82">
        <f t="shared" ref="D139:D144" si="20">D129/D$134</f>
        <v>0.51723737515111057</v>
      </c>
      <c r="I139" s="82">
        <f t="shared" si="19"/>
        <v>0.54918432349383139</v>
      </c>
      <c r="J139" s="82">
        <f t="shared" si="19"/>
        <v>0.47227857015229707</v>
      </c>
      <c r="K139" s="82">
        <f t="shared" si="19"/>
        <v>0.46277599649431844</v>
      </c>
      <c r="L139" s="82">
        <f t="shared" si="19"/>
        <v>0.94607843137254899</v>
      </c>
    </row>
    <row r="140" spans="2:12" ht="12" customHeight="1" outlineLevel="1">
      <c r="B140" s="70" t="str">
        <f>'Name labels'!$C$12</f>
        <v>Load group 2</v>
      </c>
      <c r="C140" s="118"/>
      <c r="D140" s="82">
        <f t="shared" si="20"/>
        <v>0.19627691152993143</v>
      </c>
      <c r="I140" s="82">
        <f t="shared" si="19"/>
        <v>0.1610437902925308</v>
      </c>
      <c r="J140" s="82">
        <f t="shared" si="19"/>
        <v>0.24561274432520872</v>
      </c>
      <c r="K140" s="82">
        <f t="shared" si="19"/>
        <v>0.25551125245679723</v>
      </c>
      <c r="L140" s="82">
        <f t="shared" si="19"/>
        <v>4.4117647058823532E-2</v>
      </c>
    </row>
    <row r="141" spans="2:12" ht="12" customHeight="1" outlineLevel="1">
      <c r="B141" s="70" t="str">
        <f>'Name labels'!$C$13</f>
        <v>Load group 3</v>
      </c>
      <c r="C141" s="118"/>
      <c r="D141" s="82">
        <f t="shared" si="20"/>
        <v>0.10493228091653772</v>
      </c>
      <c r="I141" s="82">
        <f t="shared" si="19"/>
        <v>9.7605545375195876E-2</v>
      </c>
      <c r="J141" s="82">
        <f t="shared" si="19"/>
        <v>0.13874203392086998</v>
      </c>
      <c r="K141" s="82">
        <f t="shared" si="19"/>
        <v>8.8344910470620389E-2</v>
      </c>
      <c r="L141" s="82">
        <f t="shared" si="19"/>
        <v>0</v>
      </c>
    </row>
    <row r="142" spans="2:12" ht="12" customHeight="1" outlineLevel="1">
      <c r="B142" s="70" t="str">
        <f>'Name labels'!$C$14</f>
        <v>Load group 4</v>
      </c>
      <c r="C142" s="118"/>
      <c r="D142" s="82">
        <f t="shared" si="20"/>
        <v>0.12606777137619082</v>
      </c>
      <c r="I142" s="82">
        <f t="shared" si="19"/>
        <v>0.1245297609628862</v>
      </c>
      <c r="J142" s="82">
        <f t="shared" si="19"/>
        <v>0.10896580235365012</v>
      </c>
      <c r="K142" s="82">
        <f t="shared" si="19"/>
        <v>0.15292234134404706</v>
      </c>
      <c r="L142" s="82">
        <f t="shared" si="19"/>
        <v>0</v>
      </c>
    </row>
    <row r="143" spans="2:12" ht="12" customHeight="1" outlineLevel="1">
      <c r="B143" s="70" t="str">
        <f>'Name labels'!$C$15</f>
        <v>Load group 5</v>
      </c>
      <c r="C143" s="118"/>
      <c r="D143" s="82">
        <f t="shared" si="20"/>
        <v>4.9109793197638828E-2</v>
      </c>
      <c r="I143" s="82">
        <f t="shared" si="19"/>
        <v>5.9719719668625042E-2</v>
      </c>
      <c r="J143" s="82">
        <f t="shared" si="19"/>
        <v>3.0245700331781283E-2</v>
      </c>
      <c r="K143" s="82">
        <f t="shared" si="19"/>
        <v>3.6571026930402678E-2</v>
      </c>
      <c r="L143" s="82">
        <f t="shared" si="19"/>
        <v>0</v>
      </c>
    </row>
    <row r="144" spans="2:12" ht="12" customHeight="1" outlineLevel="1">
      <c r="B144" s="88" t="s">
        <v>7</v>
      </c>
      <c r="C144" s="163"/>
      <c r="D144" s="167">
        <f t="shared" si="20"/>
        <v>1</v>
      </c>
      <c r="E144" s="88"/>
      <c r="F144" s="88"/>
      <c r="G144" s="88"/>
      <c r="H144" s="88"/>
      <c r="I144" s="167">
        <f>SUM(I138:I143)</f>
        <v>1</v>
      </c>
      <c r="J144" s="167">
        <f>SUM(J138:J143)</f>
        <v>1</v>
      </c>
      <c r="K144" s="167">
        <f>SUM(K138:K143)</f>
        <v>1</v>
      </c>
      <c r="L144" s="167">
        <f>SUM(L138:L143)</f>
        <v>0.99999999999999989</v>
      </c>
    </row>
    <row r="148" spans="1:22" ht="12" customHeight="1">
      <c r="A148" s="70">
        <v>10</v>
      </c>
      <c r="B148" s="95" t="str">
        <f>'Name labels'!B56</f>
        <v>Regulated Asset Base</v>
      </c>
      <c r="C148" s="95"/>
      <c r="D148" s="75" t="s">
        <v>7</v>
      </c>
      <c r="E148" s="95"/>
      <c r="F148" s="95"/>
      <c r="G148" s="95"/>
      <c r="H148" s="95"/>
      <c r="I148" s="95"/>
      <c r="J148" s="95"/>
      <c r="K148" s="95"/>
      <c r="L148" s="95"/>
    </row>
    <row r="149" spans="1:22" ht="12" customHeight="1">
      <c r="C149" s="70"/>
    </row>
    <row r="150" spans="1:22" ht="12" customHeight="1">
      <c r="B150" s="161" t="s">
        <v>189</v>
      </c>
      <c r="C150" s="161"/>
      <c r="J150" s="155"/>
    </row>
    <row r="151" spans="1:22" ht="12" customHeight="1">
      <c r="C151" s="70"/>
      <c r="I151" s="155" t="s">
        <v>237</v>
      </c>
      <c r="N151" s="176"/>
    </row>
    <row r="152" spans="1:22" ht="11.25">
      <c r="B152" s="177" t="str">
        <f>'Name labels'!$B$68</f>
        <v>33KV Lines</v>
      </c>
      <c r="C152" s="118" t="s">
        <v>186</v>
      </c>
      <c r="D152" s="87">
        <f>SUM(I152:L152)</f>
        <v>18327377.179103158</v>
      </c>
      <c r="I152" s="175">
        <v>2956071</v>
      </c>
      <c r="J152" s="175">
        <f>(2465656.02653644+8051386)</f>
        <v>10517042.02653644</v>
      </c>
      <c r="K152" s="175">
        <f>4854264.15256672</f>
        <v>4854264.1525667198</v>
      </c>
      <c r="L152" s="175"/>
      <c r="R152" s="88"/>
    </row>
    <row r="153" spans="1:22" ht="12" customHeight="1">
      <c r="B153" s="177" t="str">
        <f>'Name labels'!$B$69</f>
        <v>33KV Cables</v>
      </c>
      <c r="C153" s="118" t="s">
        <v>186</v>
      </c>
      <c r="D153" s="87">
        <f>SUM(I153:L153)</f>
        <v>21398361.549092472</v>
      </c>
      <c r="I153" s="175">
        <f>15769022</f>
        <v>15769022</v>
      </c>
      <c r="J153" s="175">
        <f>(476275.42660994+2178253)</f>
        <v>2654528.4266099399</v>
      </c>
      <c r="K153" s="175">
        <f>2974811.12248253</f>
        <v>2974811.1224825298</v>
      </c>
      <c r="L153" s="175"/>
    </row>
    <row r="154" spans="1:22" ht="12" customHeight="1">
      <c r="B154" s="177" t="str">
        <f>'Name labels'!$B$70</f>
        <v>Zone Subs</v>
      </c>
      <c r="C154" s="118" t="s">
        <v>186</v>
      </c>
      <c r="D154" s="87">
        <f t="shared" ref="D154:D161" si="21">SUM(I154:L154)</f>
        <v>92805987.821009666</v>
      </c>
      <c r="I154" s="175">
        <f>40645710</f>
        <v>40645710</v>
      </c>
      <c r="J154" s="175">
        <f>(6589317.95020737+29237578)</f>
        <v>35826895.950207368</v>
      </c>
      <c r="K154" s="175">
        <f>16333381.8708023</f>
        <v>16333381.8708023</v>
      </c>
      <c r="L154" s="175"/>
    </row>
    <row r="155" spans="1:22" ht="12" customHeight="1">
      <c r="B155" s="177" t="str">
        <f>'Name labels'!$B$71</f>
        <v>HV lines</v>
      </c>
      <c r="C155" s="118" t="s">
        <v>186</v>
      </c>
      <c r="D155" s="87">
        <f t="shared" si="21"/>
        <v>83138237.601751775</v>
      </c>
      <c r="I155" s="175">
        <f>(93371241)*'Allocator Data'!$I$192</f>
        <v>38998964.523164652</v>
      </c>
      <c r="J155" s="175">
        <f>((12259044+25577517))*'Allocator Data'!$J$192</f>
        <v>32381439.118110236</v>
      </c>
      <c r="K155" s="175">
        <f>(13968434.8958254)*'Allocator Data'!$K$192</f>
        <v>11757833.960476885</v>
      </c>
      <c r="L155" s="175"/>
    </row>
    <row r="156" spans="1:22" ht="12" customHeight="1">
      <c r="B156" s="177" t="str">
        <f>'Name labels'!$B$72</f>
        <v>LV lines</v>
      </c>
      <c r="C156" s="118" t="s">
        <v>186</v>
      </c>
      <c r="D156" s="87">
        <f t="shared" si="21"/>
        <v>62037999.294073634</v>
      </c>
      <c r="E156" s="178"/>
      <c r="F156" s="178"/>
      <c r="G156" s="178"/>
      <c r="I156" s="175">
        <f>(93371241)*'Allocator Data'!$I$193</f>
        <v>54372276.476835348</v>
      </c>
      <c r="J156" s="175">
        <f>((12259044+25577517))*'Allocator Data'!$J$193</f>
        <v>5455121.8818897642</v>
      </c>
      <c r="K156" s="175">
        <f>(13968434.8958254)*'Allocator Data'!$K$193</f>
        <v>2210600.9353485149</v>
      </c>
      <c r="L156" s="175"/>
    </row>
    <row r="157" spans="1:22" ht="12" customHeight="1">
      <c r="B157" s="177" t="str">
        <f>'Name labels'!$B$73</f>
        <v>HV cables</v>
      </c>
      <c r="C157" s="118" t="s">
        <v>186</v>
      </c>
      <c r="D157" s="87">
        <f>SUM(I157:L157)</f>
        <v>93432718.925498798</v>
      </c>
      <c r="I157" s="175">
        <f>(47849377)*'Allocator Data'!$I$200</f>
        <v>32643967.902888879</v>
      </c>
      <c r="J157" s="175">
        <f>((54054741))*'Allocator Data'!$J$200</f>
        <v>35298094.907515265</v>
      </c>
      <c r="K157" s="175">
        <f>(41669374.5145175)*'Allocator Data'!$K$200</f>
        <v>25490656.115094647</v>
      </c>
      <c r="L157" s="175"/>
    </row>
    <row r="158" spans="1:22" ht="12" customHeight="1">
      <c r="B158" s="177" t="str">
        <f>'Name labels'!$B$74</f>
        <v>LV cables</v>
      </c>
      <c r="C158" s="118" t="s">
        <v>186</v>
      </c>
      <c r="D158" s="87">
        <f t="shared" si="21"/>
        <v>50629157.589018717</v>
      </c>
      <c r="I158" s="175">
        <f>(47849377)*'Allocator Data'!$I$201</f>
        <v>15205409.097111121</v>
      </c>
      <c r="J158" s="175">
        <f>((54054741))*'Allocator Data'!$J$201</f>
        <v>18756646.092484739</v>
      </c>
      <c r="K158" s="175">
        <f>(41669374.5145175)*'Allocator Data'!$K$201</f>
        <v>16178718.399422852</v>
      </c>
      <c r="L158" s="175">
        <f>488384</f>
        <v>488384</v>
      </c>
      <c r="T158" s="88"/>
    </row>
    <row r="159" spans="1:22" ht="12" customHeight="1">
      <c r="B159" s="177" t="str">
        <f>'Name labels'!$B$75</f>
        <v>Dist Subs</v>
      </c>
      <c r="C159" s="118" t="s">
        <v>186</v>
      </c>
      <c r="D159" s="87">
        <f t="shared" si="21"/>
        <v>91081000.63471581</v>
      </c>
      <c r="I159" s="175">
        <v>33412508</v>
      </c>
      <c r="J159" s="175">
        <f>(8247595.76198581+2959985+17463740+6443299)</f>
        <v>35114619.761985809</v>
      </c>
      <c r="K159" s="175">
        <f>(14181426.87273+8372446)</f>
        <v>22553872.872730002</v>
      </c>
      <c r="L159" s="175"/>
      <c r="V159" s="179"/>
    </row>
    <row r="160" spans="1:22" ht="12" customHeight="1">
      <c r="B160" s="177" t="str">
        <f>'Name labels'!$B$76</f>
        <v>Network Posting</v>
      </c>
      <c r="C160" s="118" t="s">
        <v>186</v>
      </c>
      <c r="D160" s="87">
        <f t="shared" si="21"/>
        <v>20483134.757692002</v>
      </c>
      <c r="I160" s="175">
        <v>14470230</v>
      </c>
      <c r="J160" s="175">
        <f>(820625.671802722+1814647)</f>
        <v>2635272.6718027219</v>
      </c>
      <c r="K160" s="175">
        <f>3377632.08588928</f>
        <v>3377632.0858892798</v>
      </c>
      <c r="L160" s="175"/>
      <c r="V160" s="179"/>
    </row>
    <row r="161" spans="1:22" ht="12" customHeight="1">
      <c r="B161" s="177" t="str">
        <f>'Name labels'!$B$77</f>
        <v>System Control</v>
      </c>
      <c r="C161" s="118" t="s">
        <v>186</v>
      </c>
      <c r="D161" s="87">
        <f t="shared" si="21"/>
        <v>6388060.7991246255</v>
      </c>
      <c r="I161" s="175">
        <v>4655003</v>
      </c>
      <c r="J161" s="175">
        <f>(276971.784629869+925702)</f>
        <v>1202673.784629869</v>
      </c>
      <c r="K161" s="175">
        <f>530384.014494756</f>
        <v>530384.014494756</v>
      </c>
      <c r="L161" s="175"/>
      <c r="V161" s="179"/>
    </row>
    <row r="162" spans="1:22" ht="12" customHeight="1">
      <c r="B162" s="88" t="s">
        <v>7</v>
      </c>
      <c r="C162" s="88"/>
      <c r="D162" s="88">
        <f>SUM(D152:D161)</f>
        <v>539722036.15108061</v>
      </c>
      <c r="F162" s="88"/>
      <c r="G162" s="88"/>
      <c r="H162" s="88"/>
      <c r="I162" s="88">
        <f>SUM(I152:I161)</f>
        <v>253129162</v>
      </c>
      <c r="J162" s="88">
        <f>SUM(J152:J161)</f>
        <v>179842334.62177217</v>
      </c>
      <c r="K162" s="88">
        <f>SUM(K152:K161)</f>
        <v>106262155.5293085</v>
      </c>
      <c r="L162" s="88">
        <f>SUM(L152:L161)</f>
        <v>488384</v>
      </c>
      <c r="V162" s="179"/>
    </row>
    <row r="163" spans="1:22" ht="12" customHeight="1">
      <c r="B163" s="180" t="s">
        <v>190</v>
      </c>
      <c r="C163" s="180"/>
      <c r="D163" s="181"/>
      <c r="I163" s="164">
        <f>I162/$D$162</f>
        <v>0.46899912370660241</v>
      </c>
      <c r="J163" s="164">
        <f t="shared" ref="J163:L163" si="22">J162/$D$162</f>
        <v>0.33321288103091307</v>
      </c>
      <c r="K163" s="164">
        <f t="shared" si="22"/>
        <v>0.19688311466230976</v>
      </c>
      <c r="L163" s="164">
        <f t="shared" si="22"/>
        <v>9.0488060017488348E-4</v>
      </c>
      <c r="V163" s="179"/>
    </row>
    <row r="164" spans="1:22" ht="12" customHeight="1">
      <c r="B164" s="180"/>
      <c r="C164" s="180"/>
      <c r="D164" s="181"/>
      <c r="I164" s="164"/>
      <c r="J164" s="164"/>
      <c r="K164" s="164"/>
      <c r="L164" s="164"/>
      <c r="V164" s="179"/>
    </row>
    <row r="165" spans="1:22" ht="12" customHeight="1">
      <c r="C165" s="70"/>
      <c r="I165" s="182"/>
    </row>
    <row r="166" spans="1:22" ht="15" customHeight="1">
      <c r="A166" s="70">
        <v>11</v>
      </c>
      <c r="B166" s="95" t="str">
        <f>'Name labels'!B57</f>
        <v>Regulated Asset Base (Depreciation)</v>
      </c>
      <c r="C166" s="95"/>
      <c r="D166" s="75" t="s">
        <v>7</v>
      </c>
      <c r="E166" s="95"/>
      <c r="F166" s="95"/>
      <c r="G166" s="95"/>
      <c r="H166" s="95"/>
      <c r="I166" s="95"/>
      <c r="J166" s="95"/>
      <c r="K166" s="95"/>
      <c r="L166" s="95"/>
    </row>
    <row r="167" spans="1:22" ht="15" customHeight="1">
      <c r="C167" s="70"/>
    </row>
    <row r="168" spans="1:22" ht="15" customHeight="1">
      <c r="B168" s="161" t="s">
        <v>189</v>
      </c>
      <c r="C168" s="161"/>
    </row>
    <row r="169" spans="1:22" ht="15" customHeight="1">
      <c r="C169" s="70"/>
      <c r="I169" s="155" t="s">
        <v>237</v>
      </c>
      <c r="N169" s="176"/>
    </row>
    <row r="170" spans="1:22" ht="12" customHeight="1">
      <c r="B170" s="177" t="str">
        <f>'Name labels'!$B$68</f>
        <v>33KV Lines</v>
      </c>
      <c r="C170" s="118" t="s">
        <v>186</v>
      </c>
      <c r="D170" s="87">
        <f>SUM(I170:L170)</f>
        <v>682146</v>
      </c>
      <c r="I170" s="175">
        <v>87461</v>
      </c>
      <c r="J170" s="175">
        <v>431311</v>
      </c>
      <c r="K170" s="175">
        <v>163374</v>
      </c>
      <c r="L170" s="175"/>
    </row>
    <row r="171" spans="1:22" ht="12" customHeight="1">
      <c r="B171" s="177" t="str">
        <f>'Name labels'!$B$69</f>
        <v>33KV Cables</v>
      </c>
      <c r="C171" s="118" t="s">
        <v>186</v>
      </c>
      <c r="D171" s="87">
        <f t="shared" ref="D171:D178" si="23">SUM(I171:L171)</f>
        <v>535324</v>
      </c>
      <c r="I171" s="175">
        <v>367815</v>
      </c>
      <c r="J171" s="175">
        <v>74323</v>
      </c>
      <c r="K171" s="175">
        <v>93186</v>
      </c>
      <c r="L171" s="175"/>
    </row>
    <row r="172" spans="1:22" ht="12" customHeight="1">
      <c r="B172" s="177" t="str">
        <f>'Name labels'!$B$70</f>
        <v>Zone Subs</v>
      </c>
      <c r="C172" s="118" t="s">
        <v>186</v>
      </c>
      <c r="D172" s="87">
        <f t="shared" si="23"/>
        <v>3316943</v>
      </c>
      <c r="I172" s="175">
        <v>1638452</v>
      </c>
      <c r="J172" s="175">
        <v>1028226</v>
      </c>
      <c r="K172" s="175">
        <v>650265</v>
      </c>
      <c r="L172" s="175"/>
    </row>
    <row r="173" spans="1:22" ht="12" customHeight="1">
      <c r="B173" s="177" t="str">
        <f>'Name labels'!$B$71</f>
        <v>HV lines</v>
      </c>
      <c r="C173" s="118" t="s">
        <v>186</v>
      </c>
      <c r="D173" s="87">
        <f t="shared" si="23"/>
        <v>2590743.160420218</v>
      </c>
      <c r="I173" s="175">
        <f>2497049*I192</f>
        <v>1042958.4561653599</v>
      </c>
      <c r="J173" s="175">
        <f>1258890*J192</f>
        <v>1077388.3464566928</v>
      </c>
      <c r="K173" s="175">
        <f>558836*K192</f>
        <v>470396.35779816512</v>
      </c>
      <c r="L173" s="175"/>
    </row>
    <row r="174" spans="1:22" ht="12" customHeight="1">
      <c r="B174" s="177" t="str">
        <f>'Name labels'!$B$72</f>
        <v>LV lines</v>
      </c>
      <c r="C174" s="118" t="s">
        <v>186</v>
      </c>
      <c r="D174" s="87">
        <f t="shared" si="23"/>
        <v>1724031.839579782</v>
      </c>
      <c r="E174" s="178"/>
      <c r="F174" s="178"/>
      <c r="G174" s="178"/>
      <c r="I174" s="175">
        <f>2497049*I193</f>
        <v>1454090.5438346399</v>
      </c>
      <c r="J174" s="175">
        <f>1258890*J193</f>
        <v>181501.6535433071</v>
      </c>
      <c r="K174" s="175">
        <f>558836*K193</f>
        <v>88439.642201834853</v>
      </c>
      <c r="L174" s="175"/>
    </row>
    <row r="175" spans="1:22" ht="12" customHeight="1">
      <c r="B175" s="177" t="str">
        <f>'Name labels'!$B$73</f>
        <v>HV cables</v>
      </c>
      <c r="C175" s="118" t="s">
        <v>186</v>
      </c>
      <c r="D175" s="87">
        <f t="shared" si="23"/>
        <v>2944349.9699569</v>
      </c>
      <c r="I175" s="175">
        <f>1475057*I200</f>
        <v>1006318.5015539818</v>
      </c>
      <c r="J175" s="175">
        <f>1693020*J200</f>
        <v>1105552.9919257497</v>
      </c>
      <c r="K175" s="175">
        <f>1360846*K200</f>
        <v>832478.47647716873</v>
      </c>
      <c r="L175" s="175"/>
    </row>
    <row r="176" spans="1:22" ht="12" customHeight="1">
      <c r="B176" s="177" t="str">
        <f>'Name labels'!$B$74</f>
        <v>LV cables</v>
      </c>
      <c r="C176" s="118" t="s">
        <v>186</v>
      </c>
      <c r="D176" s="87">
        <f t="shared" si="23"/>
        <v>1601156.0300430998</v>
      </c>
      <c r="I176" s="175">
        <f>1475057*I201</f>
        <v>468738.4984460182</v>
      </c>
      <c r="J176" s="175">
        <f>1693020*J201</f>
        <v>587467.00807425031</v>
      </c>
      <c r="K176" s="175">
        <f>1360846*K201</f>
        <v>528367.52352283127</v>
      </c>
      <c r="L176" s="175">
        <v>16583</v>
      </c>
    </row>
    <row r="177" spans="1:23" ht="12" customHeight="1">
      <c r="B177" s="177" t="str">
        <f>'Name labels'!$B$75</f>
        <v>Dist Subs</v>
      </c>
      <c r="C177" s="118" t="s">
        <v>186</v>
      </c>
      <c r="D177" s="87">
        <f t="shared" si="23"/>
        <v>3470690</v>
      </c>
      <c r="I177" s="175">
        <v>1346724</v>
      </c>
      <c r="J177" s="175">
        <v>1270595</v>
      </c>
      <c r="K177" s="175">
        <v>853371</v>
      </c>
      <c r="L177" s="175"/>
    </row>
    <row r="178" spans="1:23" ht="12" customHeight="1">
      <c r="B178" s="177" t="str">
        <f>'Name labels'!$B$76</f>
        <v>Network Posting</v>
      </c>
      <c r="C178" s="118" t="s">
        <v>186</v>
      </c>
      <c r="D178" s="87">
        <f t="shared" si="23"/>
        <v>1723792</v>
      </c>
      <c r="I178" s="175">
        <v>1074920</v>
      </c>
      <c r="J178" s="175">
        <v>372578</v>
      </c>
      <c r="K178" s="175">
        <v>276294</v>
      </c>
      <c r="L178" s="175"/>
    </row>
    <row r="179" spans="1:23" ht="12" customHeight="1">
      <c r="B179" s="177" t="str">
        <f>'Name labels'!$B$77</f>
        <v>System Control</v>
      </c>
      <c r="C179" s="118" t="s">
        <v>186</v>
      </c>
      <c r="D179" s="87">
        <f>SUM(I179:L179)</f>
        <v>1768726</v>
      </c>
      <c r="I179" s="175">
        <v>1027228</v>
      </c>
      <c r="J179" s="175">
        <v>515259</v>
      </c>
      <c r="K179" s="175">
        <v>226239</v>
      </c>
      <c r="L179" s="175"/>
    </row>
    <row r="180" spans="1:23" ht="12" customHeight="1">
      <c r="B180" s="88" t="s">
        <v>7</v>
      </c>
      <c r="C180" s="88"/>
      <c r="D180" s="88">
        <f>SUM(I180:L180)</f>
        <v>20357902</v>
      </c>
      <c r="E180" s="88"/>
      <c r="F180" s="88"/>
      <c r="G180" s="88"/>
      <c r="H180" s="88"/>
      <c r="I180" s="88">
        <f>SUM(I170:I179)</f>
        <v>9514706</v>
      </c>
      <c r="J180" s="88">
        <f>SUM(J170:J179)</f>
        <v>6644201.9999999991</v>
      </c>
      <c r="K180" s="88">
        <f>SUM(K170:K179)</f>
        <v>4182411</v>
      </c>
      <c r="L180" s="88">
        <f>SUM(L170:L179)</f>
        <v>16583</v>
      </c>
    </row>
    <row r="181" spans="1:23" ht="12" customHeight="1">
      <c r="B181" s="88"/>
      <c r="C181" s="88"/>
      <c r="D181" s="88"/>
      <c r="E181" s="88"/>
      <c r="F181" s="88"/>
      <c r="G181" s="88"/>
      <c r="H181" s="88"/>
      <c r="I181" s="164">
        <f>I180/$D$180</f>
        <v>0.46737163780432778</v>
      </c>
      <c r="J181" s="164">
        <f t="shared" ref="J181:L181" si="24">J180/$D$180</f>
        <v>0.32636968190533577</v>
      </c>
      <c r="K181" s="164">
        <f t="shared" si="24"/>
        <v>0.20544410715799694</v>
      </c>
      <c r="L181" s="164">
        <f t="shared" si="24"/>
        <v>8.1457313233947192E-4</v>
      </c>
    </row>
    <row r="182" spans="1:23" ht="12" customHeight="1">
      <c r="B182" s="88"/>
      <c r="C182" s="88"/>
      <c r="D182" s="88"/>
      <c r="E182" s="88"/>
      <c r="F182" s="88"/>
      <c r="G182" s="88"/>
      <c r="H182" s="88"/>
      <c r="I182" s="88"/>
      <c r="J182" s="88"/>
      <c r="K182" s="88"/>
      <c r="L182" s="88"/>
    </row>
    <row r="183" spans="1:23" ht="12" customHeight="1">
      <c r="C183" s="70"/>
      <c r="D183" s="92"/>
      <c r="I183" s="183"/>
      <c r="J183" s="183"/>
      <c r="K183" s="183"/>
      <c r="L183" s="183"/>
    </row>
    <row r="184" spans="1:23" ht="15" customHeight="1">
      <c r="A184" s="70">
        <v>12</v>
      </c>
      <c r="B184" s="95" t="str">
        <f>'Name labels'!B58</f>
        <v>Overhead lines and underground cables</v>
      </c>
      <c r="C184" s="184"/>
      <c r="D184" s="185"/>
      <c r="E184" s="184"/>
      <c r="F184" s="184"/>
      <c r="G184" s="184"/>
      <c r="H184" s="184"/>
      <c r="I184" s="184"/>
      <c r="J184" s="184"/>
      <c r="K184" s="184"/>
      <c r="L184" s="184"/>
    </row>
    <row r="185" spans="1:23" ht="11.25">
      <c r="B185" s="186" t="s">
        <v>191</v>
      </c>
      <c r="C185" s="187"/>
      <c r="D185" s="187"/>
      <c r="E185" s="187"/>
      <c r="F185" s="187"/>
      <c r="G185" s="187"/>
      <c r="H185" s="187"/>
      <c r="I185" s="187"/>
      <c r="J185" s="187"/>
      <c r="K185" s="187"/>
      <c r="L185" s="187"/>
      <c r="N185" s="176"/>
    </row>
    <row r="186" spans="1:23" ht="11.25">
      <c r="C186" s="70"/>
      <c r="N186" s="176"/>
    </row>
    <row r="187" spans="1:23" ht="12.6" customHeight="1">
      <c r="B187" s="88" t="s">
        <v>192</v>
      </c>
      <c r="C187" s="188"/>
      <c r="D187" s="188"/>
      <c r="E187" s="188"/>
      <c r="I187" s="155" t="s">
        <v>183</v>
      </c>
      <c r="J187" s="189"/>
      <c r="K187" s="189"/>
      <c r="L187" s="189"/>
      <c r="N187" s="123"/>
    </row>
    <row r="188" spans="1:23" ht="12" customHeight="1">
      <c r="B188" s="70" t="s">
        <v>193</v>
      </c>
      <c r="C188" s="118" t="s">
        <v>46</v>
      </c>
      <c r="F188" s="190" t="s">
        <v>194</v>
      </c>
      <c r="G188" s="162">
        <v>28</v>
      </c>
      <c r="I188" s="162">
        <f>1696-I189</f>
        <v>879</v>
      </c>
      <c r="J188" s="162">
        <v>1576</v>
      </c>
      <c r="K188" s="162">
        <f>413-K189</f>
        <v>367</v>
      </c>
      <c r="L188" s="162"/>
      <c r="O188" s="191"/>
      <c r="P188" s="191"/>
      <c r="Q188" s="191"/>
      <c r="R188" s="191"/>
      <c r="W188" s="79"/>
    </row>
    <row r="189" spans="1:23" ht="12" customHeight="1">
      <c r="B189" s="70" t="s">
        <v>151</v>
      </c>
      <c r="C189" s="118" t="s">
        <v>46</v>
      </c>
      <c r="F189" s="190" t="s">
        <v>194</v>
      </c>
      <c r="G189" s="162">
        <v>42</v>
      </c>
      <c r="I189" s="192">
        <v>817</v>
      </c>
      <c r="J189" s="192">
        <v>177</v>
      </c>
      <c r="K189" s="192">
        <v>46</v>
      </c>
      <c r="L189" s="192"/>
      <c r="O189" s="191"/>
      <c r="P189" s="191"/>
      <c r="Q189" s="191"/>
      <c r="R189" s="191"/>
    </row>
    <row r="190" spans="1:23" ht="12" customHeight="1">
      <c r="B190" s="88" t="s">
        <v>7</v>
      </c>
      <c r="C190" s="193"/>
      <c r="D190" s="193"/>
      <c r="E190" s="193"/>
      <c r="G190" s="194"/>
      <c r="I190" s="88">
        <f>SUM(I188:I189)</f>
        <v>1696</v>
      </c>
      <c r="J190" s="88">
        <f t="shared" ref="J190:L190" si="25">SUM(J188:J189)</f>
        <v>1753</v>
      </c>
      <c r="K190" s="88">
        <f t="shared" si="25"/>
        <v>413</v>
      </c>
      <c r="L190" s="88">
        <f t="shared" si="25"/>
        <v>0</v>
      </c>
      <c r="O190" s="191"/>
      <c r="P190" s="191"/>
      <c r="Q190" s="191"/>
      <c r="R190" s="191"/>
    </row>
    <row r="191" spans="1:23" ht="12" customHeight="1">
      <c r="C191" s="193"/>
      <c r="D191" s="193"/>
      <c r="E191" s="193"/>
      <c r="F191" s="194"/>
      <c r="G191" s="194"/>
      <c r="H191" s="194"/>
      <c r="O191" s="191"/>
      <c r="P191" s="191"/>
      <c r="Q191" s="191"/>
      <c r="R191" s="191"/>
    </row>
    <row r="192" spans="1:23" ht="12" customHeight="1">
      <c r="B192" s="70" t="s">
        <v>193</v>
      </c>
      <c r="C192" s="193"/>
      <c r="D192" s="193"/>
      <c r="E192" s="193"/>
      <c r="F192" s="194"/>
      <c r="G192" s="194"/>
      <c r="H192" s="194"/>
      <c r="I192" s="82">
        <f>(I188*$G$188)/((I188*$G$188)+(I189*$G$189))</f>
        <v>0.41767640769779046</v>
      </c>
      <c r="J192" s="82">
        <f>(J188*$G$188)/((J188*$G$188)+(J189*$G$189))</f>
        <v>0.85582405647569915</v>
      </c>
      <c r="K192" s="82">
        <f>(K188*$G$188)/((K188*$G$188)+(K189*$G$189))</f>
        <v>0.84174311926605505</v>
      </c>
      <c r="L192" s="82">
        <v>0</v>
      </c>
      <c r="O192" s="191"/>
      <c r="P192" s="191"/>
      <c r="Q192" s="191"/>
      <c r="R192" s="191"/>
    </row>
    <row r="193" spans="2:18" ht="12" customHeight="1">
      <c r="B193" s="70" t="s">
        <v>151</v>
      </c>
      <c r="C193" s="193"/>
      <c r="D193" s="193"/>
      <c r="E193" s="193"/>
      <c r="F193" s="194"/>
      <c r="G193" s="194"/>
      <c r="H193" s="194"/>
      <c r="I193" s="82">
        <f>1-I192</f>
        <v>0.58232359230220954</v>
      </c>
      <c r="J193" s="82">
        <f>1-J192</f>
        <v>0.14417594352430085</v>
      </c>
      <c r="K193" s="82">
        <f>1-K192</f>
        <v>0.15825688073394495</v>
      </c>
      <c r="L193" s="82">
        <v>0</v>
      </c>
      <c r="O193" s="191"/>
      <c r="P193" s="191"/>
      <c r="Q193" s="191"/>
      <c r="R193" s="191"/>
    </row>
    <row r="194" spans="2:18" ht="12" customHeight="1">
      <c r="C194" s="193"/>
      <c r="D194" s="193"/>
      <c r="E194" s="193"/>
      <c r="F194" s="194"/>
      <c r="G194" s="194"/>
      <c r="H194" s="194"/>
      <c r="I194" s="167">
        <f>SUM(I192:I193)</f>
        <v>1</v>
      </c>
      <c r="J194" s="167">
        <f t="shared" ref="J194:L194" si="26">SUM(J192:J193)</f>
        <v>1</v>
      </c>
      <c r="K194" s="167">
        <f t="shared" si="26"/>
        <v>1</v>
      </c>
      <c r="L194" s="167">
        <f t="shared" si="26"/>
        <v>0</v>
      </c>
      <c r="O194" s="191"/>
      <c r="P194" s="191"/>
      <c r="Q194" s="191"/>
      <c r="R194" s="191"/>
    </row>
    <row r="195" spans="2:18" ht="12" customHeight="1">
      <c r="B195" s="88" t="s">
        <v>195</v>
      </c>
      <c r="C195" s="193"/>
      <c r="D195" s="193"/>
      <c r="E195" s="193"/>
      <c r="F195" s="194"/>
      <c r="G195" s="194"/>
      <c r="H195" s="194"/>
      <c r="K195" s="195"/>
      <c r="O195" s="191"/>
      <c r="P195" s="191"/>
      <c r="Q195" s="191"/>
      <c r="R195" s="191"/>
    </row>
    <row r="196" spans="2:18" ht="12" customHeight="1">
      <c r="B196" s="70" t="s">
        <v>196</v>
      </c>
      <c r="C196" s="118" t="s">
        <v>46</v>
      </c>
      <c r="F196" s="190" t="s">
        <v>194</v>
      </c>
      <c r="G196" s="162">
        <v>103</v>
      </c>
      <c r="H196" s="194"/>
      <c r="I196" s="162">
        <f>687-I197</f>
        <v>390</v>
      </c>
      <c r="J196" s="162">
        <v>541</v>
      </c>
      <c r="K196" s="162">
        <f>595-K197</f>
        <v>292</v>
      </c>
      <c r="L196" s="162"/>
      <c r="O196" s="191"/>
      <c r="P196" s="191"/>
      <c r="Q196" s="191"/>
      <c r="R196" s="191"/>
    </row>
    <row r="197" spans="2:18" ht="12" customHeight="1">
      <c r="B197" s="70" t="s">
        <v>153</v>
      </c>
      <c r="C197" s="118" t="s">
        <v>46</v>
      </c>
      <c r="F197" s="190" t="s">
        <v>194</v>
      </c>
      <c r="G197" s="162">
        <v>63</v>
      </c>
      <c r="H197" s="194"/>
      <c r="I197" s="192">
        <v>297</v>
      </c>
      <c r="J197" s="192">
        <v>470</v>
      </c>
      <c r="K197" s="192">
        <v>303</v>
      </c>
      <c r="L197" s="192"/>
      <c r="O197" s="191"/>
      <c r="P197" s="191"/>
      <c r="Q197" s="191"/>
      <c r="R197" s="191"/>
    </row>
    <row r="198" spans="2:18" ht="12" customHeight="1">
      <c r="B198" s="88" t="s">
        <v>7</v>
      </c>
      <c r="C198" s="155"/>
      <c r="D198" s="155"/>
      <c r="E198" s="155"/>
      <c r="F198" s="194"/>
      <c r="G198" s="155"/>
      <c r="H198" s="194"/>
      <c r="I198" s="88">
        <f>SUM(I196:I197)</f>
        <v>687</v>
      </c>
      <c r="J198" s="88">
        <f t="shared" ref="J198" si="27">SUM(J196:J197)</f>
        <v>1011</v>
      </c>
      <c r="K198" s="88">
        <f t="shared" ref="K198" si="28">SUM(K196:K197)</f>
        <v>595</v>
      </c>
      <c r="O198" s="191"/>
      <c r="P198" s="191"/>
      <c r="Q198" s="191"/>
      <c r="R198" s="191"/>
    </row>
    <row r="199" spans="2:18" ht="12" customHeight="1">
      <c r="C199" s="70"/>
      <c r="F199" s="194"/>
    </row>
    <row r="200" spans="2:18" ht="12" customHeight="1">
      <c r="B200" s="70" t="s">
        <v>196</v>
      </c>
      <c r="C200" s="70"/>
      <c r="I200" s="82">
        <f>(I196*$G$196)/((I196*$G$196)+(I197*$G$197))</f>
        <v>0.68222346767208442</v>
      </c>
      <c r="J200" s="82">
        <f>(J196*$G$196)/((J196*$G$196)+(J197*$G$197))</f>
        <v>0.65300645705647287</v>
      </c>
      <c r="K200" s="82">
        <f>(K196*$G$196)/((K196*$G$196)+(K197*$G$197))</f>
        <v>0.6117359910505441</v>
      </c>
      <c r="L200" s="82">
        <v>0</v>
      </c>
    </row>
    <row r="201" spans="2:18" ht="12" customHeight="1">
      <c r="B201" s="70" t="s">
        <v>153</v>
      </c>
      <c r="C201" s="70"/>
      <c r="I201" s="82">
        <f>1-I200</f>
        <v>0.31777653232791558</v>
      </c>
      <c r="J201" s="82">
        <f>1-J200</f>
        <v>0.34699354294352713</v>
      </c>
      <c r="K201" s="82">
        <f>1-K200</f>
        <v>0.3882640089494559</v>
      </c>
      <c r="L201" s="82">
        <v>0</v>
      </c>
    </row>
    <row r="202" spans="2:18" ht="12" customHeight="1">
      <c r="I202" s="167">
        <f>SUM(I200:I201)</f>
        <v>1</v>
      </c>
      <c r="J202" s="167">
        <f t="shared" ref="J202" si="29">SUM(J200:J201)</f>
        <v>1</v>
      </c>
      <c r="K202" s="167">
        <f t="shared" ref="K202" si="30">SUM(K200:K201)</f>
        <v>1</v>
      </c>
      <c r="L202" s="167">
        <f t="shared" ref="L202" si="31">SUM(L200:L201)</f>
        <v>0</v>
      </c>
    </row>
  </sheetData>
  <sheetProtection algorithmName="SHA-512" hashValue="Z4ydwpF7Pz0HPeaVp5A4o4sUAPuUnCmiqMBcNEkQDg9yXvIX0h6SYpo1kOZYfhHKZxdrv+1yAanm8zi92xV75Q==" saltValue="rzEUopcY9cus+mvZVRBROw==" spinCount="100000" sheet="1" objects="1" scenarios="1"/>
  <conditionalFormatting sqref="C51 C83 D183">
    <cfRule type="cellIs" dxfId="61" priority="80" stopIfTrue="1" operator="equal">
      <formula>0</formula>
    </cfRule>
    <cfRule type="cellIs" dxfId="60" priority="81" stopIfTrue="1" operator="notEqual">
      <formula>0</formula>
    </cfRule>
  </conditionalFormatting>
  <conditionalFormatting sqref="C75">
    <cfRule type="cellIs" dxfId="59" priority="72" stopIfTrue="1" operator="equal">
      <formula>0</formula>
    </cfRule>
    <cfRule type="cellIs" dxfId="58" priority="73" stopIfTrue="1" operator="notEqual">
      <formula>0</formula>
    </cfRule>
  </conditionalFormatting>
  <pageMargins left="0.7" right="0.7" top="0.75" bottom="0.75" header="0.3" footer="0.3"/>
  <pageSetup paperSize="8" scale="3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2:O136"/>
  <sheetViews>
    <sheetView showGridLines="0" workbookViewId="0">
      <selection activeCell="H16" sqref="H16"/>
    </sheetView>
  </sheetViews>
  <sheetFormatPr defaultColWidth="3.7109375" defaultRowHeight="12" customHeight="1" outlineLevelRow="1"/>
  <cols>
    <col min="1" max="1" width="3.140625" style="70" customWidth="1"/>
    <col min="2" max="2" width="26.5703125" style="70" customWidth="1"/>
    <col min="3" max="3" width="14.85546875" style="70" bestFit="1" customWidth="1"/>
    <col min="4" max="5" width="14.140625" style="70" customWidth="1"/>
    <col min="6" max="6" width="5.140625" style="70" customWidth="1"/>
    <col min="7" max="10" width="11.5703125" style="70" customWidth="1"/>
    <col min="11" max="11" width="10.7109375" style="70" bestFit="1" customWidth="1"/>
    <col min="12" max="12" width="12.140625" style="70" bestFit="1" customWidth="1"/>
    <col min="13" max="13" width="11.7109375" style="70" bestFit="1" customWidth="1"/>
    <col min="14" max="15" width="14.140625" style="70" customWidth="1"/>
    <col min="16" max="16" width="10.140625" style="70" customWidth="1"/>
    <col min="17" max="17" width="8.7109375" style="70" customWidth="1"/>
    <col min="18" max="18" width="12.140625" style="70" customWidth="1"/>
    <col min="19" max="19" width="14" style="70" bestFit="1" customWidth="1"/>
    <col min="20" max="20" width="19.140625" style="70" bestFit="1" customWidth="1"/>
    <col min="21" max="21" width="20.5703125" style="70" bestFit="1" customWidth="1"/>
    <col min="22" max="22" width="32" style="70" bestFit="1" customWidth="1"/>
    <col min="23" max="23" width="18" style="70" bestFit="1" customWidth="1"/>
    <col min="24" max="24" width="16.85546875" style="70" bestFit="1" customWidth="1"/>
    <col min="25" max="25" width="16.140625" style="70" bestFit="1" customWidth="1"/>
    <col min="26" max="26" width="10.85546875" style="70" bestFit="1" customWidth="1"/>
    <col min="27" max="16384" width="3.7109375" style="70"/>
  </cols>
  <sheetData>
    <row r="2" spans="2:14" ht="15" customHeight="1">
      <c r="B2" s="71" t="str">
        <f ca="1">MID(CELL("filename",A1),FIND("]",CELL("filename",A1))+1,255)</f>
        <v>Asset Mapping</v>
      </c>
      <c r="C2" s="71"/>
      <c r="D2" s="71"/>
      <c r="E2" s="71"/>
      <c r="F2" s="71"/>
    </row>
    <row r="3" spans="2:14" ht="12" customHeight="1">
      <c r="F3" s="71"/>
    </row>
    <row r="4" spans="2:14" ht="12" customHeight="1">
      <c r="B4" s="95" t="s">
        <v>60</v>
      </c>
      <c r="C4" s="95"/>
      <c r="D4" s="95"/>
      <c r="E4" s="95"/>
      <c r="F4" s="95"/>
      <c r="G4" s="95"/>
      <c r="H4" s="95"/>
      <c r="I4" s="95"/>
      <c r="J4" s="95"/>
      <c r="K4" s="88"/>
    </row>
    <row r="5" spans="2:14" ht="12" customHeight="1">
      <c r="F5" s="71"/>
    </row>
    <row r="6" spans="2:14" ht="12" customHeight="1">
      <c r="B6" s="70" t="s">
        <v>240</v>
      </c>
      <c r="F6" s="71"/>
    </row>
    <row r="7" spans="2:14" ht="12" customHeight="1">
      <c r="B7" s="70" t="s">
        <v>241</v>
      </c>
      <c r="F7" s="71"/>
      <c r="G7" s="100"/>
      <c r="H7" s="100"/>
      <c r="I7" s="100"/>
      <c r="J7" s="100"/>
      <c r="K7" s="100"/>
      <c r="L7" s="100"/>
      <c r="M7" s="100"/>
      <c r="N7" s="100"/>
    </row>
    <row r="8" spans="2:14" ht="12" customHeight="1">
      <c r="F8" s="71"/>
      <c r="G8" s="100"/>
      <c r="H8" s="100"/>
      <c r="I8" s="100"/>
      <c r="J8" s="100"/>
      <c r="K8" s="100"/>
      <c r="L8" s="100"/>
      <c r="M8" s="100"/>
      <c r="N8" s="100"/>
    </row>
    <row r="9" spans="2:14" ht="12" customHeight="1">
      <c r="F9" s="71"/>
      <c r="G9" s="100"/>
      <c r="H9" s="100"/>
      <c r="I9" s="100"/>
      <c r="J9" s="100"/>
      <c r="K9" s="100"/>
      <c r="L9" s="100"/>
      <c r="M9" s="100"/>
      <c r="N9" s="100"/>
    </row>
    <row r="10" spans="2:14" ht="12" customHeight="1">
      <c r="B10" s="98" t="str">
        <f>'Name labels'!B66</f>
        <v>Asset Categories</v>
      </c>
      <c r="C10" s="77" t="str">
        <f>'Name labels'!C66</f>
        <v>Network Voltage</v>
      </c>
      <c r="D10" s="77"/>
      <c r="E10" s="95"/>
      <c r="F10" s="95"/>
      <c r="G10" s="95"/>
      <c r="H10" s="95"/>
      <c r="I10" s="95"/>
      <c r="J10" s="95"/>
      <c r="K10" s="100"/>
      <c r="L10" s="100"/>
      <c r="M10" s="100"/>
      <c r="N10" s="100"/>
    </row>
    <row r="11" spans="2:14" ht="12" customHeight="1">
      <c r="C11" s="100"/>
      <c r="F11" s="71"/>
      <c r="G11" s="100"/>
      <c r="H11" s="100"/>
      <c r="I11" s="100"/>
      <c r="J11" s="100"/>
      <c r="K11" s="100"/>
      <c r="L11" s="100"/>
      <c r="M11" s="100"/>
      <c r="N11" s="100"/>
    </row>
    <row r="12" spans="2:14" ht="12" customHeight="1">
      <c r="B12" s="177" t="str">
        <f>'Name labels'!$B$68</f>
        <v>33KV Lines</v>
      </c>
      <c r="C12" s="162" t="s">
        <v>40</v>
      </c>
      <c r="D12" s="70" t="str">
        <f>VLOOKUP(C12,$B$25:$D$27,3,FALSE)</f>
        <v>HV - CPD</v>
      </c>
      <c r="F12" s="71"/>
      <c r="G12" s="100"/>
      <c r="H12" s="100"/>
      <c r="I12" s="100"/>
      <c r="J12" s="100"/>
      <c r="K12" s="100"/>
      <c r="L12" s="100"/>
      <c r="M12" s="100"/>
      <c r="N12" s="100"/>
    </row>
    <row r="13" spans="2:14" ht="12" customHeight="1">
      <c r="B13" s="177" t="str">
        <f>'Name labels'!$B$69</f>
        <v>33KV Cables</v>
      </c>
      <c r="C13" s="162" t="s">
        <v>40</v>
      </c>
      <c r="D13" s="70" t="str">
        <f t="shared" ref="D13:D21" si="0">VLOOKUP(C13,$B$25:$D$27,3,FALSE)</f>
        <v>HV - CPD</v>
      </c>
      <c r="F13" s="71"/>
      <c r="G13" s="100"/>
      <c r="H13" s="100"/>
      <c r="I13" s="100"/>
      <c r="J13" s="100"/>
      <c r="K13" s="100"/>
      <c r="L13" s="100"/>
      <c r="M13" s="100"/>
      <c r="N13" s="100"/>
    </row>
    <row r="14" spans="2:14" ht="12" customHeight="1">
      <c r="B14" s="177" t="str">
        <f>'Name labels'!$B$70</f>
        <v>Zone Subs</v>
      </c>
      <c r="C14" s="162" t="s">
        <v>50</v>
      </c>
      <c r="D14" s="70" t="str">
        <f t="shared" si="0"/>
        <v>LV - CPD</v>
      </c>
      <c r="F14" s="71"/>
      <c r="G14" s="100"/>
      <c r="H14" s="100"/>
      <c r="I14" s="100"/>
      <c r="J14" s="100"/>
      <c r="K14" s="100"/>
      <c r="L14" s="100"/>
      <c r="M14" s="100"/>
      <c r="N14" s="100"/>
    </row>
    <row r="15" spans="2:14" ht="12" customHeight="1">
      <c r="B15" s="177" t="str">
        <f>'Name labels'!$B$71</f>
        <v>HV lines</v>
      </c>
      <c r="C15" s="162" t="s">
        <v>40</v>
      </c>
      <c r="D15" s="70" t="str">
        <f t="shared" si="0"/>
        <v>HV - CPD</v>
      </c>
      <c r="F15" s="71"/>
      <c r="G15" s="100"/>
      <c r="H15" s="100"/>
      <c r="I15" s="100"/>
      <c r="J15" s="100"/>
      <c r="K15" s="100"/>
      <c r="L15" s="100"/>
      <c r="M15" s="100"/>
      <c r="N15" s="100"/>
    </row>
    <row r="16" spans="2:14" ht="12" customHeight="1">
      <c r="B16" s="177" t="str">
        <f>'Name labels'!$B$72</f>
        <v>LV lines</v>
      </c>
      <c r="C16" s="162" t="s">
        <v>50</v>
      </c>
      <c r="D16" s="70" t="str">
        <f t="shared" si="0"/>
        <v>LV - CPD</v>
      </c>
      <c r="F16" s="71"/>
      <c r="G16" s="100"/>
      <c r="H16" s="100"/>
      <c r="I16" s="100"/>
      <c r="J16" s="100"/>
      <c r="K16" s="100"/>
      <c r="L16" s="100"/>
      <c r="M16" s="100"/>
      <c r="N16" s="100"/>
    </row>
    <row r="17" spans="2:14" ht="12" customHeight="1">
      <c r="B17" s="177" t="str">
        <f>'Name labels'!$B$73</f>
        <v>HV cables</v>
      </c>
      <c r="C17" s="162" t="s">
        <v>40</v>
      </c>
      <c r="D17" s="70" t="str">
        <f t="shared" si="0"/>
        <v>HV - CPD</v>
      </c>
      <c r="F17" s="71"/>
      <c r="G17" s="100"/>
      <c r="H17" s="100"/>
      <c r="I17" s="100"/>
      <c r="J17" s="100"/>
      <c r="K17" s="100"/>
      <c r="L17" s="100"/>
      <c r="M17" s="100"/>
      <c r="N17" s="100"/>
    </row>
    <row r="18" spans="2:14" ht="12" customHeight="1">
      <c r="B18" s="177" t="str">
        <f>'Name labels'!$B$74</f>
        <v>LV cables</v>
      </c>
      <c r="C18" s="162" t="s">
        <v>50</v>
      </c>
      <c r="D18" s="70" t="str">
        <f t="shared" si="0"/>
        <v>LV - CPD</v>
      </c>
      <c r="F18" s="71"/>
      <c r="G18" s="100"/>
      <c r="H18" s="100"/>
      <c r="I18" s="100"/>
      <c r="J18" s="100"/>
      <c r="K18" s="100"/>
      <c r="L18" s="100"/>
      <c r="M18" s="100"/>
      <c r="N18" s="100"/>
    </row>
    <row r="19" spans="2:14" ht="12" customHeight="1">
      <c r="B19" s="177" t="str">
        <f>'Name labels'!$B$75</f>
        <v>Dist Subs</v>
      </c>
      <c r="C19" s="162" t="s">
        <v>50</v>
      </c>
      <c r="D19" s="70" t="str">
        <f t="shared" si="0"/>
        <v>LV - CPD</v>
      </c>
      <c r="F19" s="71"/>
      <c r="G19" s="100"/>
      <c r="H19" s="100"/>
      <c r="I19" s="100"/>
      <c r="J19" s="100"/>
      <c r="K19" s="100"/>
      <c r="L19" s="100"/>
      <c r="M19" s="100"/>
      <c r="N19" s="100"/>
    </row>
    <row r="20" spans="2:14" ht="12" customHeight="1">
      <c r="B20" s="177" t="str">
        <f>'Name labels'!$B$76</f>
        <v>Network Posting</v>
      </c>
      <c r="C20" s="162" t="s">
        <v>149</v>
      </c>
      <c r="D20" s="70" t="str">
        <f t="shared" si="0"/>
        <v>Shared - CPD</v>
      </c>
      <c r="F20" s="71"/>
      <c r="G20" s="100"/>
      <c r="H20" s="100"/>
      <c r="I20" s="100"/>
      <c r="J20" s="100"/>
      <c r="K20" s="100"/>
      <c r="L20" s="100"/>
      <c r="M20" s="100"/>
      <c r="N20" s="100"/>
    </row>
    <row r="21" spans="2:14" ht="12" customHeight="1">
      <c r="B21" s="177" t="str">
        <f>'Name labels'!$B$77</f>
        <v>System Control</v>
      </c>
      <c r="C21" s="162" t="s">
        <v>40</v>
      </c>
      <c r="D21" s="70" t="str">
        <f t="shared" si="0"/>
        <v>HV - CPD</v>
      </c>
      <c r="F21" s="71"/>
      <c r="G21" s="100"/>
      <c r="H21" s="100"/>
      <c r="I21" s="100"/>
      <c r="J21" s="100"/>
      <c r="K21" s="100"/>
      <c r="L21" s="100"/>
      <c r="M21" s="100"/>
      <c r="N21" s="100"/>
    </row>
    <row r="22" spans="2:14" ht="12" customHeight="1">
      <c r="B22" s="177"/>
      <c r="F22" s="71"/>
      <c r="G22" s="100"/>
      <c r="H22" s="100"/>
      <c r="I22" s="100"/>
      <c r="J22" s="100"/>
      <c r="K22" s="100"/>
      <c r="L22" s="100"/>
      <c r="M22" s="100"/>
      <c r="N22" s="100"/>
    </row>
    <row r="23" spans="2:14" ht="12" customHeight="1">
      <c r="B23" s="98" t="str">
        <f>C10</f>
        <v>Network Voltage</v>
      </c>
      <c r="C23" s="77" t="str">
        <f>'Name labels'!D45</f>
        <v>RAB Allocators</v>
      </c>
      <c r="D23" s="77"/>
      <c r="E23" s="95"/>
      <c r="F23" s="95"/>
      <c r="G23" s="95"/>
      <c r="H23" s="95"/>
      <c r="I23" s="95"/>
      <c r="J23" s="95"/>
      <c r="K23" s="100"/>
      <c r="L23" s="100"/>
      <c r="M23" s="100"/>
      <c r="N23" s="100"/>
    </row>
    <row r="24" spans="2:14" ht="12" customHeight="1">
      <c r="C24" s="100"/>
      <c r="F24" s="71"/>
      <c r="G24" s="100"/>
      <c r="H24" s="100"/>
      <c r="I24" s="100"/>
      <c r="J24" s="100"/>
      <c r="K24" s="100"/>
      <c r="L24" s="100"/>
      <c r="M24" s="100"/>
      <c r="N24" s="100"/>
    </row>
    <row r="25" spans="2:14" ht="12" customHeight="1">
      <c r="B25" s="177" t="str">
        <f>'Name labels'!C68</f>
        <v>LV</v>
      </c>
      <c r="C25" s="162" t="s">
        <v>34</v>
      </c>
      <c r="D25" s="70" t="str">
        <f>CONCATENATE(B25," - ",C25)</f>
        <v>LV - CPD</v>
      </c>
      <c r="F25" s="71"/>
      <c r="G25" s="100"/>
      <c r="H25" s="100"/>
      <c r="I25" s="100"/>
      <c r="J25" s="100"/>
      <c r="K25" s="100"/>
      <c r="L25" s="100"/>
      <c r="M25" s="100"/>
      <c r="N25" s="100"/>
    </row>
    <row r="26" spans="2:14" ht="12" customHeight="1">
      <c r="B26" s="177" t="str">
        <f>'Name labels'!C69</f>
        <v>HV</v>
      </c>
      <c r="C26" s="162" t="s">
        <v>34</v>
      </c>
      <c r="D26" s="70" t="str">
        <f t="shared" ref="D26:D27" si="1">CONCATENATE(B26," - ",C26)</f>
        <v>HV - CPD</v>
      </c>
      <c r="F26" s="71"/>
      <c r="G26" s="100"/>
      <c r="H26" s="100"/>
      <c r="I26" s="100"/>
      <c r="J26" s="100"/>
      <c r="K26" s="100"/>
      <c r="L26" s="100"/>
      <c r="M26" s="100"/>
      <c r="N26" s="100"/>
    </row>
    <row r="27" spans="2:14" ht="12" customHeight="1">
      <c r="B27" s="177" t="str">
        <f>'Name labels'!C70</f>
        <v>Shared</v>
      </c>
      <c r="C27" s="162" t="s">
        <v>34</v>
      </c>
      <c r="D27" s="70" t="str">
        <f t="shared" si="1"/>
        <v>Shared - CPD</v>
      </c>
      <c r="F27" s="71"/>
      <c r="G27" s="100"/>
      <c r="H27" s="100"/>
      <c r="I27" s="100"/>
      <c r="J27" s="100"/>
      <c r="K27" s="100"/>
      <c r="L27" s="100"/>
      <c r="M27" s="100"/>
      <c r="N27" s="100"/>
    </row>
    <row r="28" spans="2:14" ht="12" customHeight="1">
      <c r="B28" s="177"/>
      <c r="F28" s="71"/>
      <c r="G28" s="100"/>
      <c r="H28" s="100"/>
      <c r="I28" s="100"/>
      <c r="J28" s="100"/>
      <c r="K28" s="100"/>
      <c r="L28" s="100"/>
      <c r="M28" s="100"/>
      <c r="N28" s="100"/>
    </row>
    <row r="29" spans="2:14" ht="12" customHeight="1">
      <c r="B29" s="98" t="s">
        <v>197</v>
      </c>
      <c r="C29" s="77" t="str">
        <f>'Name labels'!C68</f>
        <v>LV</v>
      </c>
      <c r="D29" s="77" t="str">
        <f>'Name labels'!C69</f>
        <v>HV</v>
      </c>
      <c r="E29" s="77" t="str">
        <f>'Name labels'!C70</f>
        <v>Shared</v>
      </c>
      <c r="F29" s="77"/>
      <c r="G29" s="77"/>
      <c r="H29" s="77"/>
      <c r="I29" s="77"/>
      <c r="J29" s="77"/>
      <c r="K29" s="100"/>
      <c r="L29" s="100"/>
      <c r="M29" s="100"/>
      <c r="N29" s="100"/>
    </row>
    <row r="30" spans="2:14" ht="12" customHeight="1">
      <c r="B30" s="177"/>
      <c r="F30" s="71"/>
      <c r="G30" s="100"/>
      <c r="H30" s="100"/>
      <c r="I30" s="100"/>
      <c r="J30" s="100"/>
      <c r="K30" s="100"/>
      <c r="L30" s="100"/>
      <c r="M30" s="100"/>
      <c r="N30" s="100"/>
    </row>
    <row r="31" spans="2:14" ht="12" customHeight="1">
      <c r="B31" s="177" t="str">
        <f>'Name labels'!C10</f>
        <v>Load group Streetlighting</v>
      </c>
      <c r="C31" s="162" t="s">
        <v>145</v>
      </c>
      <c r="D31" s="162" t="s">
        <v>147</v>
      </c>
      <c r="E31" s="162" t="s">
        <v>145</v>
      </c>
      <c r="F31" s="71"/>
      <c r="G31" s="100"/>
      <c r="H31" s="100"/>
      <c r="I31" s="100"/>
      <c r="J31" s="100"/>
      <c r="K31" s="100"/>
      <c r="L31" s="100"/>
      <c r="M31" s="100"/>
      <c r="N31" s="100"/>
    </row>
    <row r="32" spans="2:14" ht="12" customHeight="1">
      <c r="B32" s="177" t="str">
        <f>'Name labels'!C11</f>
        <v>Load group 1 (incl residential)</v>
      </c>
      <c r="C32" s="162" t="s">
        <v>145</v>
      </c>
      <c r="D32" s="162" t="s">
        <v>147</v>
      </c>
      <c r="E32" s="162" t="s">
        <v>145</v>
      </c>
      <c r="G32" s="100"/>
      <c r="H32" s="100"/>
      <c r="I32" s="100"/>
      <c r="J32" s="100"/>
      <c r="K32" s="100"/>
      <c r="L32" s="100"/>
      <c r="M32" s="100"/>
      <c r="N32" s="100"/>
    </row>
    <row r="33" spans="1:15" ht="12" customHeight="1">
      <c r="B33" s="177" t="str">
        <f>'Name labels'!C12</f>
        <v>Load group 2</v>
      </c>
      <c r="C33" s="162" t="s">
        <v>145</v>
      </c>
      <c r="D33" s="162" t="s">
        <v>147</v>
      </c>
      <c r="E33" s="162" t="s">
        <v>145</v>
      </c>
      <c r="G33" s="100"/>
      <c r="H33" s="100"/>
      <c r="I33" s="100"/>
      <c r="J33" s="100"/>
      <c r="K33" s="100"/>
      <c r="L33" s="100"/>
      <c r="M33" s="100"/>
      <c r="N33" s="100"/>
    </row>
    <row r="34" spans="1:15" ht="12" customHeight="1">
      <c r="B34" s="177" t="str">
        <f>'Name labels'!C13</f>
        <v>Load group 3</v>
      </c>
      <c r="C34" s="162" t="s">
        <v>147</v>
      </c>
      <c r="D34" s="162" t="s">
        <v>145</v>
      </c>
      <c r="E34" s="162" t="s">
        <v>145</v>
      </c>
      <c r="G34" s="100"/>
      <c r="H34" s="100"/>
      <c r="I34" s="100"/>
      <c r="J34" s="100"/>
      <c r="K34" s="100"/>
      <c r="L34" s="100"/>
      <c r="M34" s="100"/>
      <c r="N34" s="100"/>
    </row>
    <row r="35" spans="1:15" ht="12" customHeight="1">
      <c r="B35" s="177" t="str">
        <f>'Name labels'!C14</f>
        <v>Load group 4</v>
      </c>
      <c r="C35" s="162" t="s">
        <v>147</v>
      </c>
      <c r="D35" s="162" t="s">
        <v>145</v>
      </c>
      <c r="E35" s="162" t="s">
        <v>145</v>
      </c>
      <c r="G35" s="100"/>
      <c r="H35" s="100"/>
      <c r="I35" s="100"/>
      <c r="J35" s="100"/>
      <c r="K35" s="100"/>
      <c r="L35" s="100"/>
      <c r="M35" s="100"/>
      <c r="N35" s="100"/>
    </row>
    <row r="36" spans="1:15" ht="12" customHeight="1">
      <c r="B36" s="177" t="str">
        <f>'Name labels'!C15</f>
        <v>Load group 5</v>
      </c>
      <c r="C36" s="162" t="s">
        <v>147</v>
      </c>
      <c r="D36" s="162" t="s">
        <v>145</v>
      </c>
      <c r="E36" s="162" t="s">
        <v>145</v>
      </c>
      <c r="G36" s="100"/>
      <c r="H36" s="100"/>
      <c r="I36" s="100"/>
      <c r="J36" s="100"/>
      <c r="K36" s="100"/>
      <c r="L36" s="100"/>
      <c r="M36" s="100"/>
      <c r="N36" s="100"/>
    </row>
    <row r="37" spans="1:15" ht="12" customHeight="1">
      <c r="B37" s="177"/>
      <c r="G37" s="100"/>
      <c r="H37" s="100"/>
      <c r="I37" s="100"/>
      <c r="J37" s="100"/>
      <c r="K37" s="100"/>
      <c r="L37" s="100"/>
      <c r="M37" s="100"/>
      <c r="N37" s="100"/>
    </row>
    <row r="38" spans="1:15" ht="12" customHeight="1">
      <c r="A38" s="70">
        <v>1</v>
      </c>
      <c r="B38" s="160" t="str">
        <f>D25</f>
        <v>LV - CPD</v>
      </c>
      <c r="C38" s="77" t="s">
        <v>178</v>
      </c>
      <c r="D38" s="77" t="s">
        <v>7</v>
      </c>
      <c r="E38" s="95"/>
      <c r="F38" s="95"/>
      <c r="G38" s="77" t="str">
        <f>'Name labels'!B10</f>
        <v>Dunedin</v>
      </c>
      <c r="H38" s="77" t="str">
        <f>'Name labels'!B11</f>
        <v>Central Otago</v>
      </c>
      <c r="I38" s="77" t="str">
        <f>'Name labels'!B12</f>
        <v>Queenstown</v>
      </c>
      <c r="J38" s="77" t="str">
        <f>'Name labels'!B13</f>
        <v>Te Anau</v>
      </c>
    </row>
    <row r="39" spans="1:15" ht="12" customHeight="1" outlineLevel="1">
      <c r="C39" s="100"/>
    </row>
    <row r="40" spans="1:15" ht="12" customHeight="1" outlineLevel="1">
      <c r="B40" s="161" t="s">
        <v>179</v>
      </c>
      <c r="C40" s="100"/>
      <c r="G40" s="155"/>
      <c r="H40" s="155"/>
      <c r="I40" s="155"/>
      <c r="J40" s="155"/>
      <c r="O40" s="79"/>
    </row>
    <row r="41" spans="1:15" ht="12" customHeight="1" outlineLevel="1">
      <c r="C41" s="100"/>
      <c r="O41" s="79"/>
    </row>
    <row r="42" spans="1:15" ht="12" customHeight="1" outlineLevel="1">
      <c r="B42" s="70" t="str">
        <f>'Name labels'!$C$10</f>
        <v>Load group Streetlighting</v>
      </c>
      <c r="C42" s="118" t="s">
        <v>185</v>
      </c>
      <c r="D42" s="87">
        <f>SUM(G42:K42)</f>
        <v>1722.2000000000003</v>
      </c>
      <c r="G42" s="87">
        <f>IF($C31='Name labels'!$D$68,'Allocator Data'!I56,0)</f>
        <v>497.90000000000003</v>
      </c>
      <c r="H42" s="87">
        <f>IF($C31='Name labels'!$D$68,'Allocator Data'!J56,0)</f>
        <v>313.10000000000002</v>
      </c>
      <c r="I42" s="87">
        <f>IF($C31='Name labels'!$D$68,'Allocator Data'!K56,0)</f>
        <v>288.90000000000003</v>
      </c>
      <c r="J42" s="87">
        <f>IF($C31='Name labels'!$D$68,'Allocator Data'!L56,0)</f>
        <v>622.30000000000007</v>
      </c>
      <c r="O42" s="79"/>
    </row>
    <row r="43" spans="1:15" ht="12" customHeight="1" outlineLevel="1">
      <c r="B43" s="70" t="str">
        <f>'Name labels'!$C$11</f>
        <v>Load group 1 (incl residential)</v>
      </c>
      <c r="C43" s="118" t="s">
        <v>185</v>
      </c>
      <c r="D43" s="87">
        <f t="shared" ref="D43:D44" si="2">SUM(G43:K43)</f>
        <v>180512.59999999966</v>
      </c>
      <c r="G43" s="87">
        <f>IF($C32='Name labels'!$D$68,'Allocator Data'!I57,0)</f>
        <v>98684.299999999348</v>
      </c>
      <c r="H43" s="87">
        <f>IF($C32='Name labels'!$D$68,'Allocator Data'!J57,0)</f>
        <v>44068.000000000342</v>
      </c>
      <c r="I43" s="87">
        <f>IF($C32='Name labels'!$D$68,'Allocator Data'!K57,0)</f>
        <v>37521.199999999953</v>
      </c>
      <c r="J43" s="87">
        <f>IF($C32='Name labels'!$D$68,'Allocator Data'!L57,0)</f>
        <v>239.10000000000016</v>
      </c>
      <c r="O43" s="79"/>
    </row>
    <row r="44" spans="1:15" ht="12" customHeight="1" outlineLevel="1">
      <c r="B44" s="70" t="str">
        <f>'Name labels'!$C$12</f>
        <v>Load group 2</v>
      </c>
      <c r="C44" s="118" t="s">
        <v>185</v>
      </c>
      <c r="D44" s="87">
        <f t="shared" si="2"/>
        <v>45905.792461538498</v>
      </c>
      <c r="G44" s="87">
        <f>IF($C33='Name labels'!$D$68,'Allocator Data'!I58,0)</f>
        <v>22576.292461538465</v>
      </c>
      <c r="H44" s="87">
        <f>IF($C33='Name labels'!$D$68,'Allocator Data'!J58,0)</f>
        <v>10739.050000000025</v>
      </c>
      <c r="I44" s="87">
        <f>IF($C33='Name labels'!$D$68,'Allocator Data'!K58,0)</f>
        <v>12584.950000000012</v>
      </c>
      <c r="J44" s="87">
        <f>IF($C33='Name labels'!$D$68,'Allocator Data'!L58,0)</f>
        <v>5.5</v>
      </c>
      <c r="O44" s="79"/>
    </row>
    <row r="45" spans="1:15" ht="12" customHeight="1" outlineLevel="1">
      <c r="B45" s="70" t="str">
        <f>'Name labels'!$C$13</f>
        <v>Load group 3</v>
      </c>
      <c r="C45" s="118" t="s">
        <v>185</v>
      </c>
      <c r="D45" s="87">
        <f>SUM(G45:K45)</f>
        <v>0</v>
      </c>
      <c r="G45" s="87">
        <f>IF($C34='Name labels'!$D$68,'Allocator Data'!I59,0)</f>
        <v>0</v>
      </c>
      <c r="H45" s="87">
        <f>IF($C34='Name labels'!$D$68,'Allocator Data'!J59,0)</f>
        <v>0</v>
      </c>
      <c r="I45" s="87">
        <f>IF($C34='Name labels'!$D$68,'Allocator Data'!K59,0)</f>
        <v>0</v>
      </c>
      <c r="J45" s="87">
        <f>IF($C34='Name labels'!$D$68,'Allocator Data'!L59,0)</f>
        <v>0</v>
      </c>
      <c r="O45" s="79"/>
    </row>
    <row r="46" spans="1:15" ht="12" customHeight="1" outlineLevel="1">
      <c r="B46" s="70" t="str">
        <f>'Name labels'!$C$14</f>
        <v>Load group 4</v>
      </c>
      <c r="C46" s="118" t="s">
        <v>185</v>
      </c>
      <c r="D46" s="87">
        <f>SUM(G46:K46)</f>
        <v>0</v>
      </c>
      <c r="G46" s="87">
        <f>IF($C35='Name labels'!$D$68,'Allocator Data'!I60,0)</f>
        <v>0</v>
      </c>
      <c r="H46" s="87">
        <f>IF($C35='Name labels'!$D$68,'Allocator Data'!J60,0)</f>
        <v>0</v>
      </c>
      <c r="I46" s="87">
        <f>IF($C35='Name labels'!$D$68,'Allocator Data'!K60,0)</f>
        <v>0</v>
      </c>
      <c r="J46" s="87">
        <f>IF($C35='Name labels'!$D$68,'Allocator Data'!L60,0)</f>
        <v>0</v>
      </c>
      <c r="O46" s="79"/>
    </row>
    <row r="47" spans="1:15" ht="12" customHeight="1" outlineLevel="1">
      <c r="B47" s="70" t="str">
        <f>'Name labels'!$C$15</f>
        <v>Load group 5</v>
      </c>
      <c r="C47" s="118" t="s">
        <v>185</v>
      </c>
      <c r="D47" s="87">
        <f>SUM(G47:K47)</f>
        <v>0</v>
      </c>
      <c r="G47" s="87">
        <f>IF($C36='Name labels'!$D$68,'Allocator Data'!I61,0)</f>
        <v>0</v>
      </c>
      <c r="H47" s="87">
        <f>IF($C36='Name labels'!$D$68,'Allocator Data'!J61,0)</f>
        <v>0</v>
      </c>
      <c r="I47" s="87">
        <f>IF($C36='Name labels'!$D$68,'Allocator Data'!K61,0)</f>
        <v>0</v>
      </c>
      <c r="J47" s="87">
        <f>IF($C36='Name labels'!$D$68,'Allocator Data'!L61,0)</f>
        <v>0</v>
      </c>
      <c r="O47" s="79"/>
    </row>
    <row r="48" spans="1:15" s="88" customFormat="1" ht="12" customHeight="1" outlineLevel="1">
      <c r="B48" s="88" t="s">
        <v>7</v>
      </c>
      <c r="C48" s="163"/>
      <c r="D48" s="88">
        <f>SUM(G48:J48)</f>
        <v>228140.59246153812</v>
      </c>
      <c r="G48" s="88">
        <f>SUM(G42:G47)</f>
        <v>121758.49246153781</v>
      </c>
      <c r="H48" s="88">
        <f>SUM(H42:H47)</f>
        <v>55120.150000000365</v>
      </c>
      <c r="I48" s="88">
        <f>SUM(I42:I47)</f>
        <v>50395.049999999967</v>
      </c>
      <c r="J48" s="88">
        <f>SUM(J42:J47)</f>
        <v>866.9000000000002</v>
      </c>
      <c r="K48" s="70"/>
      <c r="O48" s="79"/>
    </row>
    <row r="49" spans="1:15" ht="12" customHeight="1" outlineLevel="1">
      <c r="C49" s="100"/>
      <c r="D49" s="100"/>
      <c r="E49" s="100"/>
      <c r="F49" s="100"/>
      <c r="G49" s="164">
        <f>G48/$D48</f>
        <v>0.5336993787375427</v>
      </c>
      <c r="H49" s="164">
        <f>H48/$D48</f>
        <v>0.24160606144341887</v>
      </c>
      <c r="I49" s="164">
        <f>I48/$D48</f>
        <v>0.22089470995169785</v>
      </c>
      <c r="J49" s="164">
        <f>J48/$D48</f>
        <v>3.799849867340682E-3</v>
      </c>
      <c r="K49" s="165"/>
    </row>
    <row r="50" spans="1:15" ht="12" customHeight="1" outlineLevel="1">
      <c r="B50" s="161" t="s">
        <v>182</v>
      </c>
      <c r="C50" s="100"/>
    </row>
    <row r="51" spans="1:15" ht="12" customHeight="1" outlineLevel="1">
      <c r="C51" s="100"/>
      <c r="G51" s="166"/>
      <c r="H51" s="166"/>
      <c r="I51" s="166"/>
      <c r="J51" s="166"/>
      <c r="O51" s="88"/>
    </row>
    <row r="52" spans="1:15" ht="12" customHeight="1" outlineLevel="1">
      <c r="B52" s="70" t="str">
        <f>'Name labels'!$C$10</f>
        <v>Load group Streetlighting</v>
      </c>
      <c r="C52" s="118"/>
      <c r="D52" s="82">
        <f>D42/D$48</f>
        <v>7.5488538949522689E-3</v>
      </c>
      <c r="G52" s="82">
        <f>IF(G$42=0,0,G42/G$48)</f>
        <v>4.0892424826734879E-3</v>
      </c>
      <c r="H52" s="82">
        <f t="shared" ref="H52:I52" si="3">IF(H$42=0,0,H42/H$48)</f>
        <v>5.6803183590755455E-3</v>
      </c>
      <c r="I52" s="82">
        <f t="shared" si="3"/>
        <v>5.7327058907571324E-3</v>
      </c>
      <c r="J52" s="82">
        <f>IF(J$48=0,AVERAGE(G52:I52),IF(J42=0,0,J42/J$48))</f>
        <v>0.71784519552428183</v>
      </c>
    </row>
    <row r="53" spans="1:15" ht="12" customHeight="1" outlineLevel="1">
      <c r="B53" s="70" t="str">
        <f>'Name labels'!$C$11</f>
        <v>Load group 1 (incl residential)</v>
      </c>
      <c r="C53" s="118"/>
      <c r="D53" s="82">
        <f t="shared" ref="D53:D57" si="4">D43/D$48</f>
        <v>0.79123402833466383</v>
      </c>
      <c r="G53" s="82">
        <f t="shared" ref="G53:I57" si="5">IF(G$42=0,0,G43/G$48)</f>
        <v>0.8104921308152091</v>
      </c>
      <c r="H53" s="82">
        <f t="shared" si="5"/>
        <v>0.7994898417366435</v>
      </c>
      <c r="I53" s="82">
        <f t="shared" si="5"/>
        <v>0.74454137856793434</v>
      </c>
      <c r="J53" s="82">
        <f t="shared" ref="J53:J57" si="6">IF(J$48=0,AVERAGE(G53:I53),IF(J43=0,0,J43/J$48))</f>
        <v>0.27581035874956755</v>
      </c>
    </row>
    <row r="54" spans="1:15" ht="12" customHeight="1" outlineLevel="1">
      <c r="B54" s="70" t="str">
        <f>'Name labels'!$C$12</f>
        <v>Load group 2</v>
      </c>
      <c r="C54" s="118"/>
      <c r="D54" s="82">
        <f t="shared" si="4"/>
        <v>0.20121711777038401</v>
      </c>
      <c r="G54" s="82">
        <f t="shared" si="5"/>
        <v>0.18541862670211748</v>
      </c>
      <c r="H54" s="82">
        <f t="shared" si="5"/>
        <v>0.19482983990428099</v>
      </c>
      <c r="I54" s="82">
        <f t="shared" si="5"/>
        <v>0.24972591554130852</v>
      </c>
      <c r="J54" s="82">
        <f t="shared" si="6"/>
        <v>6.3444457261506507E-3</v>
      </c>
    </row>
    <row r="55" spans="1:15" ht="12" customHeight="1" outlineLevel="1">
      <c r="B55" s="70" t="str">
        <f>'Name labels'!$C$13</f>
        <v>Load group 3</v>
      </c>
      <c r="C55" s="118"/>
      <c r="D55" s="82">
        <f t="shared" si="4"/>
        <v>0</v>
      </c>
      <c r="G55" s="82">
        <f t="shared" si="5"/>
        <v>0</v>
      </c>
      <c r="H55" s="82">
        <f t="shared" si="5"/>
        <v>0</v>
      </c>
      <c r="I55" s="82">
        <f t="shared" si="5"/>
        <v>0</v>
      </c>
      <c r="J55" s="82">
        <f t="shared" si="6"/>
        <v>0</v>
      </c>
    </row>
    <row r="56" spans="1:15" ht="12" customHeight="1" outlineLevel="1">
      <c r="B56" s="70" t="str">
        <f>'Name labels'!$C$14</f>
        <v>Load group 4</v>
      </c>
      <c r="C56" s="118"/>
      <c r="D56" s="82">
        <f t="shared" si="4"/>
        <v>0</v>
      </c>
      <c r="G56" s="82">
        <f t="shared" si="5"/>
        <v>0</v>
      </c>
      <c r="H56" s="82">
        <f t="shared" si="5"/>
        <v>0</v>
      </c>
      <c r="I56" s="82">
        <f t="shared" si="5"/>
        <v>0</v>
      </c>
      <c r="J56" s="82">
        <f t="shared" si="6"/>
        <v>0</v>
      </c>
    </row>
    <row r="57" spans="1:15" ht="12" customHeight="1" outlineLevel="1">
      <c r="B57" s="70" t="str">
        <f>'Name labels'!$C$15</f>
        <v>Load group 5</v>
      </c>
      <c r="C57" s="118"/>
      <c r="D57" s="82">
        <f t="shared" si="4"/>
        <v>0</v>
      </c>
      <c r="G57" s="82">
        <f t="shared" si="5"/>
        <v>0</v>
      </c>
      <c r="H57" s="82">
        <f t="shared" si="5"/>
        <v>0</v>
      </c>
      <c r="I57" s="82">
        <f t="shared" si="5"/>
        <v>0</v>
      </c>
      <c r="J57" s="82">
        <f t="shared" si="6"/>
        <v>0</v>
      </c>
    </row>
    <row r="58" spans="1:15" s="88" customFormat="1" ht="12" customHeight="1" outlineLevel="1">
      <c r="B58" s="88" t="s">
        <v>7</v>
      </c>
      <c r="C58" s="163"/>
      <c r="D58" s="167">
        <f>D48/D$48</f>
        <v>1</v>
      </c>
      <c r="G58" s="167">
        <f>SUM(G52:G57)</f>
        <v>1</v>
      </c>
      <c r="H58" s="167">
        <f>SUM(H52:H57)</f>
        <v>1</v>
      </c>
      <c r="I58" s="167">
        <f>SUM(I52:I57)</f>
        <v>1</v>
      </c>
      <c r="J58" s="167">
        <f>SUM(J52:J57)</f>
        <v>1</v>
      </c>
      <c r="K58" s="70"/>
    </row>
    <row r="62" spans="1:15" ht="12" customHeight="1">
      <c r="A62" s="70">
        <v>2</v>
      </c>
      <c r="B62" s="160" t="str">
        <f>D26</f>
        <v>HV - CPD</v>
      </c>
      <c r="C62" s="77" t="s">
        <v>178</v>
      </c>
      <c r="D62" s="77" t="s">
        <v>7</v>
      </c>
      <c r="E62" s="95"/>
      <c r="F62" s="95"/>
      <c r="G62" s="77" t="str">
        <f>'Name labels'!B10</f>
        <v>Dunedin</v>
      </c>
      <c r="H62" s="77" t="str">
        <f>'Name labels'!B11</f>
        <v>Central Otago</v>
      </c>
      <c r="I62" s="77" t="str">
        <f>'Name labels'!B12</f>
        <v>Queenstown</v>
      </c>
      <c r="J62" s="77" t="str">
        <f>'Name labels'!B13</f>
        <v>Te Anau</v>
      </c>
    </row>
    <row r="63" spans="1:15" ht="12" customHeight="1" outlineLevel="1">
      <c r="C63" s="100"/>
    </row>
    <row r="64" spans="1:15" ht="12" customHeight="1" outlineLevel="1">
      <c r="B64" s="161" t="s">
        <v>179</v>
      </c>
      <c r="C64" s="100"/>
      <c r="G64" s="155"/>
      <c r="H64" s="155"/>
      <c r="I64" s="155"/>
      <c r="J64" s="155"/>
      <c r="O64" s="79"/>
    </row>
    <row r="65" spans="2:15" ht="12" customHeight="1" outlineLevel="1">
      <c r="C65" s="100"/>
      <c r="O65" s="79"/>
    </row>
    <row r="66" spans="2:15" ht="12" customHeight="1" outlineLevel="1">
      <c r="B66" s="70" t="str">
        <f>'Name labels'!$C$10</f>
        <v>Load group Streetlighting</v>
      </c>
      <c r="C66" s="118" t="s">
        <v>185</v>
      </c>
      <c r="D66" s="87">
        <f>SUM(G66:K66)</f>
        <v>0</v>
      </c>
      <c r="G66" s="87">
        <f>IF($D31='Name labels'!$D$68,'Allocator Data'!I56,0)</f>
        <v>0</v>
      </c>
      <c r="H66" s="87">
        <f>IF($D31='Name labels'!$D$68,'Allocator Data'!J56,0)</f>
        <v>0</v>
      </c>
      <c r="I66" s="87">
        <f>IF($D31='Name labels'!$D$68,'Allocator Data'!K56,0)</f>
        <v>0</v>
      </c>
      <c r="J66" s="87">
        <f>IF($D31='Name labels'!$D$68,'Allocator Data'!L56,0)</f>
        <v>0</v>
      </c>
      <c r="O66" s="79"/>
    </row>
    <row r="67" spans="2:15" ht="12" customHeight="1" outlineLevel="1">
      <c r="B67" s="70" t="str">
        <f>'Name labels'!$C$11</f>
        <v>Load group 1 (incl residential)</v>
      </c>
      <c r="C67" s="118" t="s">
        <v>185</v>
      </c>
      <c r="D67" s="87">
        <f t="shared" ref="D67:D68" si="7">SUM(G67:K67)</f>
        <v>0</v>
      </c>
      <c r="G67" s="87">
        <f>IF($D32='Name labels'!$D$68,'Allocator Data'!I57,0)</f>
        <v>0</v>
      </c>
      <c r="H67" s="87">
        <f>IF($D32='Name labels'!$D$68,'Allocator Data'!J57,0)</f>
        <v>0</v>
      </c>
      <c r="I67" s="87">
        <f>IF($D32='Name labels'!$D$68,'Allocator Data'!K57,0)</f>
        <v>0</v>
      </c>
      <c r="J67" s="87">
        <f>IF($D32='Name labels'!$D$68,'Allocator Data'!L57,0)</f>
        <v>0</v>
      </c>
      <c r="O67" s="79"/>
    </row>
    <row r="68" spans="2:15" ht="12" customHeight="1" outlineLevel="1">
      <c r="B68" s="70" t="str">
        <f>'Name labels'!$C$12</f>
        <v>Load group 2</v>
      </c>
      <c r="C68" s="118" t="s">
        <v>185</v>
      </c>
      <c r="D68" s="87">
        <f t="shared" si="7"/>
        <v>0</v>
      </c>
      <c r="G68" s="87">
        <f>IF($D33='Name labels'!$D$68,'Allocator Data'!I58,0)</f>
        <v>0</v>
      </c>
      <c r="H68" s="87">
        <f>IF($D33='Name labels'!$D$68,'Allocator Data'!J58,0)</f>
        <v>0</v>
      </c>
      <c r="I68" s="87">
        <f>IF($D33='Name labels'!$D$68,'Allocator Data'!K58,0)</f>
        <v>0</v>
      </c>
      <c r="J68" s="87">
        <f>IF($D33='Name labels'!$D$68,'Allocator Data'!L58,0)</f>
        <v>0</v>
      </c>
      <c r="O68" s="79"/>
    </row>
    <row r="69" spans="2:15" ht="12" customHeight="1" outlineLevel="1">
      <c r="B69" s="70" t="str">
        <f>'Name labels'!$C$13</f>
        <v>Load group 3</v>
      </c>
      <c r="C69" s="118" t="s">
        <v>185</v>
      </c>
      <c r="D69" s="87">
        <f>SUM(G69:K69)</f>
        <v>22251.331954641908</v>
      </c>
      <c r="G69" s="87">
        <f>IF($D34='Name labels'!$D$68,'Allocator Data'!I59,0)</f>
        <v>13601.631954641907</v>
      </c>
      <c r="H69" s="87">
        <f>IF($D34='Name labels'!$D$68,'Allocator Data'!J59,0)</f>
        <v>4516.7</v>
      </c>
      <c r="I69" s="87">
        <f>IF($D34='Name labels'!$D$68,'Allocator Data'!K59,0)</f>
        <v>4133</v>
      </c>
      <c r="J69" s="87">
        <f>IF($D34='Name labels'!$D$68,'Allocator Data'!L59,0)</f>
        <v>0</v>
      </c>
      <c r="O69" s="79"/>
    </row>
    <row r="70" spans="2:15" ht="12" customHeight="1" outlineLevel="1">
      <c r="B70" s="70" t="str">
        <f>'Name labels'!$C$14</f>
        <v>Load group 4</v>
      </c>
      <c r="C70" s="118" t="s">
        <v>185</v>
      </c>
      <c r="D70" s="87">
        <f>SUM(G70:K70)</f>
        <v>25417.337004099354</v>
      </c>
      <c r="G70" s="87">
        <f>IF($D35='Name labels'!$D$68,'Allocator Data'!I60,0)</f>
        <v>14409.437004099354</v>
      </c>
      <c r="H70" s="87">
        <f>IF($D35='Name labels'!$D$68,'Allocator Data'!J60,0)</f>
        <v>4870.5</v>
      </c>
      <c r="I70" s="87">
        <f>IF($D35='Name labels'!$D$68,'Allocator Data'!K60,0)</f>
        <v>6137.4</v>
      </c>
      <c r="J70" s="87">
        <f>IF($D35='Name labels'!$D$68,'Allocator Data'!L60,0)</f>
        <v>0</v>
      </c>
      <c r="O70" s="79"/>
    </row>
    <row r="71" spans="2:15" ht="12" customHeight="1" outlineLevel="1">
      <c r="B71" s="70" t="str">
        <f>'Name labels'!$C$15</f>
        <v>Load group 5</v>
      </c>
      <c r="C71" s="118" t="s">
        <v>185</v>
      </c>
      <c r="D71" s="87">
        <f>SUM(G71:K71)</f>
        <v>6384.7451064625029</v>
      </c>
      <c r="G71" s="87">
        <f>IF($D36='Name labels'!$D$68,'Allocator Data'!I61,0)</f>
        <v>5747.4951064625029</v>
      </c>
      <c r="H71" s="87">
        <f>IF($D36='Name labels'!$D$68,'Allocator Data'!J61,0)</f>
        <v>101.25</v>
      </c>
      <c r="I71" s="87">
        <f>IF($D36='Name labels'!$D$68,'Allocator Data'!K61,0)</f>
        <v>536</v>
      </c>
      <c r="J71" s="87">
        <f>IF($D36='Name labels'!$D$68,'Allocator Data'!L61,0)</f>
        <v>0</v>
      </c>
      <c r="O71" s="79"/>
    </row>
    <row r="72" spans="2:15" s="88" customFormat="1" ht="12" customHeight="1" outlineLevel="1">
      <c r="B72" s="88" t="s">
        <v>7</v>
      </c>
      <c r="C72" s="163"/>
      <c r="D72" s="88">
        <f>SUM(G72:J72)</f>
        <v>54053.414065203768</v>
      </c>
      <c r="G72" s="88">
        <f>SUM(G66:G71)</f>
        <v>33758.564065203769</v>
      </c>
      <c r="H72" s="88">
        <f>SUM(H66:H71)</f>
        <v>9488.4500000000007</v>
      </c>
      <c r="I72" s="88">
        <f>SUM(I66:I71)</f>
        <v>10806.4</v>
      </c>
      <c r="J72" s="88">
        <f>SUM(J66:J71)</f>
        <v>0</v>
      </c>
      <c r="K72" s="70"/>
      <c r="O72" s="79"/>
    </row>
    <row r="73" spans="2:15" ht="12" customHeight="1" outlineLevel="1">
      <c r="C73" s="100"/>
      <c r="D73" s="100"/>
      <c r="E73" s="100"/>
      <c r="F73" s="100"/>
      <c r="G73" s="164">
        <f>G72/$D72</f>
        <v>0.62454082964086888</v>
      </c>
      <c r="H73" s="164">
        <f>H72/$D72</f>
        <v>0.17553840333848728</v>
      </c>
      <c r="I73" s="164">
        <f>I72/$D72</f>
        <v>0.19992076702064393</v>
      </c>
      <c r="J73" s="164">
        <f>J72/$D72</f>
        <v>0</v>
      </c>
      <c r="K73" s="165"/>
    </row>
    <row r="74" spans="2:15" ht="12" customHeight="1" outlineLevel="1">
      <c r="B74" s="161" t="s">
        <v>182</v>
      </c>
      <c r="C74" s="100"/>
    </row>
    <row r="75" spans="2:15" ht="12" customHeight="1" outlineLevel="1">
      <c r="C75" s="100"/>
      <c r="G75" s="166"/>
      <c r="H75" s="166"/>
      <c r="I75" s="166"/>
      <c r="J75" s="166"/>
      <c r="O75" s="88"/>
    </row>
    <row r="76" spans="2:15" ht="12" customHeight="1" outlineLevel="1">
      <c r="B76" s="70" t="str">
        <f>'Name labels'!$C$10</f>
        <v>Load group Streetlighting</v>
      </c>
      <c r="C76" s="118"/>
      <c r="D76" s="82">
        <f>D66/D$72</f>
        <v>0</v>
      </c>
      <c r="G76" s="82">
        <f>IF(G66=0,0,G66/G$72)</f>
        <v>0</v>
      </c>
      <c r="H76" s="82">
        <f t="shared" ref="H76:I76" si="8">IF(H66=0,0,H66/H$72)</f>
        <v>0</v>
      </c>
      <c r="I76" s="82">
        <f t="shared" si="8"/>
        <v>0</v>
      </c>
      <c r="J76" s="82">
        <f>IF(J$73=0,AVERAGE(G76:I76),IF(J66=0,0,J66/J$72))</f>
        <v>0</v>
      </c>
    </row>
    <row r="77" spans="2:15" ht="12" customHeight="1" outlineLevel="1">
      <c r="B77" s="70" t="str">
        <f>'Name labels'!$C$11</f>
        <v>Load group 1 (incl residential)</v>
      </c>
      <c r="C77" s="118"/>
      <c r="D77" s="82">
        <f t="shared" ref="D77:D82" si="9">D67/D$72</f>
        <v>0</v>
      </c>
      <c r="G77" s="82">
        <f t="shared" ref="G77:I81" si="10">IF(G67=0,0,G67/G$72)</f>
        <v>0</v>
      </c>
      <c r="H77" s="82">
        <f t="shared" si="10"/>
        <v>0</v>
      </c>
      <c r="I77" s="82">
        <f t="shared" si="10"/>
        <v>0</v>
      </c>
      <c r="J77" s="82">
        <f t="shared" ref="J77:J82" si="11">IF(J$73=0,AVERAGE(G77:I77),IF(J67=0,0,J67/J$72))</f>
        <v>0</v>
      </c>
    </row>
    <row r="78" spans="2:15" ht="12" customHeight="1" outlineLevel="1">
      <c r="B78" s="70" t="str">
        <f>'Name labels'!$C$12</f>
        <v>Load group 2</v>
      </c>
      <c r="C78" s="118"/>
      <c r="D78" s="82">
        <f t="shared" si="9"/>
        <v>0</v>
      </c>
      <c r="G78" s="82">
        <f t="shared" si="10"/>
        <v>0</v>
      </c>
      <c r="H78" s="82">
        <f t="shared" si="10"/>
        <v>0</v>
      </c>
      <c r="I78" s="82">
        <f t="shared" si="10"/>
        <v>0</v>
      </c>
      <c r="J78" s="82">
        <f t="shared" si="11"/>
        <v>0</v>
      </c>
    </row>
    <row r="79" spans="2:15" ht="12" customHeight="1" outlineLevel="1">
      <c r="B79" s="70" t="str">
        <f>'Name labels'!$C$13</f>
        <v>Load group 3</v>
      </c>
      <c r="C79" s="118"/>
      <c r="D79" s="82">
        <f t="shared" si="9"/>
        <v>0.41165451506542183</v>
      </c>
      <c r="G79" s="82">
        <f t="shared" si="10"/>
        <v>0.4029090789635103</v>
      </c>
      <c r="H79" s="82">
        <f t="shared" si="10"/>
        <v>0.47602084639746212</v>
      </c>
      <c r="I79" s="82">
        <f t="shared" si="10"/>
        <v>0.38245854308557892</v>
      </c>
      <c r="J79" s="82">
        <f t="shared" si="11"/>
        <v>0.42046282281551711</v>
      </c>
    </row>
    <row r="80" spans="2:15" ht="12" customHeight="1" outlineLevel="1">
      <c r="B80" s="70" t="str">
        <f>'Name labels'!$C$14</f>
        <v>Load group 4</v>
      </c>
      <c r="C80" s="118"/>
      <c r="D80" s="82">
        <f t="shared" si="9"/>
        <v>0.47022630195825982</v>
      </c>
      <c r="G80" s="82">
        <f t="shared" si="10"/>
        <v>0.42683797143349789</v>
      </c>
      <c r="H80" s="82">
        <f t="shared" si="10"/>
        <v>0.51330828533638262</v>
      </c>
      <c r="I80" s="82">
        <f t="shared" si="10"/>
        <v>0.56794122001776726</v>
      </c>
      <c r="J80" s="82">
        <f t="shared" si="11"/>
        <v>0.50269582559588255</v>
      </c>
    </row>
    <row r="81" spans="1:15" ht="12" customHeight="1" outlineLevel="1">
      <c r="B81" s="70" t="str">
        <f>'Name labels'!$C$15</f>
        <v>Load group 5</v>
      </c>
      <c r="C81" s="118"/>
      <c r="D81" s="82">
        <f t="shared" si="9"/>
        <v>0.11811918297631833</v>
      </c>
      <c r="G81" s="82">
        <f t="shared" si="10"/>
        <v>0.17025294960299167</v>
      </c>
      <c r="H81" s="82">
        <f t="shared" si="10"/>
        <v>1.0670868266155167E-2</v>
      </c>
      <c r="I81" s="82">
        <f t="shared" si="10"/>
        <v>4.9600236896653833E-2</v>
      </c>
      <c r="J81" s="82">
        <f t="shared" si="11"/>
        <v>7.6841351588600226E-2</v>
      </c>
    </row>
    <row r="82" spans="1:15" s="88" customFormat="1" ht="12" customHeight="1" outlineLevel="1">
      <c r="B82" s="88" t="s">
        <v>7</v>
      </c>
      <c r="C82" s="163"/>
      <c r="D82" s="167">
        <f t="shared" si="9"/>
        <v>1</v>
      </c>
      <c r="G82" s="167">
        <f>SUM(G76:G81)</f>
        <v>0.99999999999999978</v>
      </c>
      <c r="H82" s="167">
        <f>SUM(H76:H81)</f>
        <v>0.99999999999999989</v>
      </c>
      <c r="I82" s="167">
        <f>SUM(I76:I81)</f>
        <v>1</v>
      </c>
      <c r="J82" s="167">
        <f t="shared" si="11"/>
        <v>0.99999999999999989</v>
      </c>
      <c r="K82" s="70"/>
    </row>
    <row r="86" spans="1:15" ht="12" customHeight="1">
      <c r="A86" s="70">
        <v>3</v>
      </c>
      <c r="B86" s="160" t="str">
        <f>D27</f>
        <v>Shared - CPD</v>
      </c>
      <c r="C86" s="77" t="s">
        <v>178</v>
      </c>
      <c r="D86" s="77" t="s">
        <v>7</v>
      </c>
      <c r="E86" s="95"/>
      <c r="F86" s="95"/>
      <c r="G86" s="77" t="str">
        <f>'Name labels'!B10</f>
        <v>Dunedin</v>
      </c>
      <c r="H86" s="77" t="str">
        <f>'Name labels'!B11</f>
        <v>Central Otago</v>
      </c>
      <c r="I86" s="77" t="str">
        <f>'Name labels'!B12</f>
        <v>Queenstown</v>
      </c>
      <c r="J86" s="77" t="str">
        <f>'Name labels'!B13</f>
        <v>Te Anau</v>
      </c>
    </row>
    <row r="87" spans="1:15" ht="12" customHeight="1" outlineLevel="1">
      <c r="C87" s="100"/>
    </row>
    <row r="88" spans="1:15" ht="12" customHeight="1" outlineLevel="1">
      <c r="B88" s="161" t="s">
        <v>179</v>
      </c>
      <c r="C88" s="100"/>
      <c r="G88" s="155"/>
      <c r="H88" s="155"/>
      <c r="I88" s="155"/>
      <c r="J88" s="155"/>
      <c r="O88" s="79"/>
    </row>
    <row r="89" spans="1:15" ht="12" customHeight="1" outlineLevel="1">
      <c r="C89" s="100"/>
      <c r="O89" s="79"/>
    </row>
    <row r="90" spans="1:15" ht="12" customHeight="1" outlineLevel="1">
      <c r="B90" s="70" t="str">
        <f>'Name labels'!$C$10</f>
        <v>Load group Streetlighting</v>
      </c>
      <c r="C90" s="118" t="s">
        <v>185</v>
      </c>
      <c r="D90" s="87">
        <f>SUM(G90:K90)</f>
        <v>1722.2000000000003</v>
      </c>
      <c r="G90" s="87">
        <f>IF($E31='Name labels'!$D$68,'Allocator Data'!I56,0)</f>
        <v>497.90000000000003</v>
      </c>
      <c r="H90" s="87">
        <f>IF($E31='Name labels'!$D$68,'Allocator Data'!J56,0)</f>
        <v>313.10000000000002</v>
      </c>
      <c r="I90" s="87">
        <f>IF($E31='Name labels'!$D$68,'Allocator Data'!K56,0)</f>
        <v>288.90000000000003</v>
      </c>
      <c r="J90" s="87">
        <f>IF($E31='Name labels'!$D$68,'Allocator Data'!L56,0)</f>
        <v>622.30000000000007</v>
      </c>
      <c r="O90" s="79"/>
    </row>
    <row r="91" spans="1:15" ht="12" customHeight="1" outlineLevel="1">
      <c r="B91" s="70" t="str">
        <f>'Name labels'!$C$11</f>
        <v>Load group 1 (incl residential)</v>
      </c>
      <c r="C91" s="118" t="s">
        <v>185</v>
      </c>
      <c r="D91" s="87">
        <f t="shared" ref="D91:D92" si="12">SUM(G91:K91)</f>
        <v>180512.59999999966</v>
      </c>
      <c r="G91" s="87">
        <f>IF($E32='Name labels'!$D$68,'Allocator Data'!I57,0)</f>
        <v>98684.299999999348</v>
      </c>
      <c r="H91" s="87">
        <f>IF($E32='Name labels'!$D$68,'Allocator Data'!J57,0)</f>
        <v>44068.000000000342</v>
      </c>
      <c r="I91" s="87">
        <f>IF($E32='Name labels'!$D$68,'Allocator Data'!K57,0)</f>
        <v>37521.199999999953</v>
      </c>
      <c r="J91" s="87">
        <f>IF($E32='Name labels'!$D$68,'Allocator Data'!L57,0)</f>
        <v>239.10000000000016</v>
      </c>
      <c r="O91" s="79"/>
    </row>
    <row r="92" spans="1:15" ht="12" customHeight="1" outlineLevel="1">
      <c r="B92" s="70" t="str">
        <f>'Name labels'!$C$12</f>
        <v>Load group 2</v>
      </c>
      <c r="C92" s="118" t="s">
        <v>185</v>
      </c>
      <c r="D92" s="87">
        <f t="shared" si="12"/>
        <v>45905.792461538498</v>
      </c>
      <c r="G92" s="87">
        <f>IF($E33='Name labels'!$D$68,'Allocator Data'!I58,0)</f>
        <v>22576.292461538465</v>
      </c>
      <c r="H92" s="87">
        <f>IF($E33='Name labels'!$D$68,'Allocator Data'!J58,0)</f>
        <v>10739.050000000025</v>
      </c>
      <c r="I92" s="87">
        <f>IF($E33='Name labels'!$D$68,'Allocator Data'!K58,0)</f>
        <v>12584.950000000012</v>
      </c>
      <c r="J92" s="87">
        <f>IF($E33='Name labels'!$D$68,'Allocator Data'!L58,0)</f>
        <v>5.5</v>
      </c>
      <c r="O92" s="79"/>
    </row>
    <row r="93" spans="1:15" ht="12" customHeight="1" outlineLevel="1">
      <c r="B93" s="70" t="str">
        <f>'Name labels'!$C$13</f>
        <v>Load group 3</v>
      </c>
      <c r="C93" s="118" t="s">
        <v>185</v>
      </c>
      <c r="D93" s="87">
        <f>SUM(G93:K93)</f>
        <v>22251.331954641908</v>
      </c>
      <c r="G93" s="87">
        <f>IF($E34='Name labels'!$D$68,'Allocator Data'!I59,0)</f>
        <v>13601.631954641907</v>
      </c>
      <c r="H93" s="87">
        <f>IF($E34='Name labels'!$D$68,'Allocator Data'!J59,0)</f>
        <v>4516.7</v>
      </c>
      <c r="I93" s="87">
        <f>IF($E34='Name labels'!$D$68,'Allocator Data'!K59,0)</f>
        <v>4133</v>
      </c>
      <c r="J93" s="87">
        <f>IF($E34='Name labels'!$D$68,'Allocator Data'!L59,0)</f>
        <v>0</v>
      </c>
      <c r="O93" s="79"/>
    </row>
    <row r="94" spans="1:15" ht="12" customHeight="1" outlineLevel="1">
      <c r="B94" s="70" t="str">
        <f>'Name labels'!$C$14</f>
        <v>Load group 4</v>
      </c>
      <c r="C94" s="118" t="s">
        <v>185</v>
      </c>
      <c r="D94" s="87">
        <f>SUM(G94:K94)</f>
        <v>25417.337004099354</v>
      </c>
      <c r="G94" s="87">
        <f>IF($E35='Name labels'!$D$68,'Allocator Data'!I60,0)</f>
        <v>14409.437004099354</v>
      </c>
      <c r="H94" s="87">
        <f>IF($E35='Name labels'!$D$68,'Allocator Data'!J60,0)</f>
        <v>4870.5</v>
      </c>
      <c r="I94" s="87">
        <f>IF($E35='Name labels'!$D$68,'Allocator Data'!K60,0)</f>
        <v>6137.4</v>
      </c>
      <c r="J94" s="87">
        <f>IF($E35='Name labels'!$D$68,'Allocator Data'!L60,0)</f>
        <v>0</v>
      </c>
      <c r="O94" s="79"/>
    </row>
    <row r="95" spans="1:15" ht="12" customHeight="1" outlineLevel="1">
      <c r="B95" s="70" t="str">
        <f>'Name labels'!$C$15</f>
        <v>Load group 5</v>
      </c>
      <c r="C95" s="118" t="s">
        <v>185</v>
      </c>
      <c r="D95" s="87">
        <f>SUM(G95:K95)</f>
        <v>6384.7451064625029</v>
      </c>
      <c r="G95" s="87">
        <f>IF($E36='Name labels'!$D$68,'Allocator Data'!I61,0)</f>
        <v>5747.4951064625029</v>
      </c>
      <c r="H95" s="87">
        <f>IF($E36='Name labels'!$D$68,'Allocator Data'!J61,0)</f>
        <v>101.25</v>
      </c>
      <c r="I95" s="87">
        <f>IF($E36='Name labels'!$D$68,'Allocator Data'!K61,0)</f>
        <v>536</v>
      </c>
      <c r="J95" s="87">
        <f>IF($E36='Name labels'!$D$68,'Allocator Data'!L61,0)</f>
        <v>0</v>
      </c>
      <c r="O95" s="79"/>
    </row>
    <row r="96" spans="1:15" s="88" customFormat="1" ht="12" customHeight="1" outlineLevel="1">
      <c r="B96" s="88" t="s">
        <v>7</v>
      </c>
      <c r="C96" s="163"/>
      <c r="D96" s="88">
        <f>SUM(G96:J96)</f>
        <v>282194.00652674196</v>
      </c>
      <c r="G96" s="88">
        <f>SUM(G90:G95)</f>
        <v>155517.0565267416</v>
      </c>
      <c r="H96" s="88">
        <f>SUM(H90:H95)</f>
        <v>64608.600000000362</v>
      </c>
      <c r="I96" s="88">
        <f>SUM(I90:I95)</f>
        <v>61201.449999999968</v>
      </c>
      <c r="J96" s="88">
        <f>SUM(J90:J95)</f>
        <v>866.9000000000002</v>
      </c>
      <c r="K96" s="70"/>
      <c r="O96" s="79"/>
    </row>
    <row r="97" spans="1:15" ht="12" customHeight="1" outlineLevel="1">
      <c r="C97" s="100"/>
      <c r="D97" s="100"/>
      <c r="E97" s="100"/>
      <c r="F97" s="100"/>
      <c r="G97" s="164">
        <f>G96/$D96</f>
        <v>0.55109978571427987</v>
      </c>
      <c r="H97" s="164">
        <f>H96/$D96</f>
        <v>0.22895100004144761</v>
      </c>
      <c r="I97" s="164">
        <f>I96/$D96</f>
        <v>0.21687721420192618</v>
      </c>
      <c r="J97" s="164">
        <f>J96/$D96</f>
        <v>3.0720000423462182E-3</v>
      </c>
      <c r="K97" s="165"/>
    </row>
    <row r="98" spans="1:15" ht="12" customHeight="1" outlineLevel="1">
      <c r="B98" s="161" t="s">
        <v>182</v>
      </c>
      <c r="C98" s="100"/>
    </row>
    <row r="99" spans="1:15" ht="12" customHeight="1" outlineLevel="1">
      <c r="C99" s="100"/>
      <c r="G99" s="166"/>
      <c r="H99" s="166"/>
      <c r="I99" s="166"/>
      <c r="J99" s="166"/>
      <c r="O99" s="88"/>
    </row>
    <row r="100" spans="1:15" ht="12" customHeight="1" outlineLevel="1">
      <c r="B100" s="70" t="str">
        <f>'Name labels'!$C$10</f>
        <v>Load group Streetlighting</v>
      </c>
      <c r="C100" s="118"/>
      <c r="D100" s="82">
        <f>D90/D$96</f>
        <v>6.1028936127911597E-3</v>
      </c>
      <c r="G100" s="82">
        <f>IF(G90=0,0,G90/G$96)</f>
        <v>3.2015780848731841E-3</v>
      </c>
      <c r="H100" s="82">
        <f t="shared" ref="H100:J100" si="13">IF(H90=0,0,H90/H$96)</f>
        <v>4.8461040790235086E-3</v>
      </c>
      <c r="I100" s="82">
        <f t="shared" si="13"/>
        <v>4.7204763939416496E-3</v>
      </c>
      <c r="J100" s="82">
        <f t="shared" si="13"/>
        <v>0.71784519552428183</v>
      </c>
    </row>
    <row r="101" spans="1:15" ht="12" customHeight="1" outlineLevel="1">
      <c r="B101" s="70" t="str">
        <f>'Name labels'!$C$11</f>
        <v>Load group 1 (incl residential)</v>
      </c>
      <c r="C101" s="118"/>
      <c r="D101" s="82">
        <f t="shared" ref="D101:D106" si="14">D91/D$96</f>
        <v>0.63967552756260782</v>
      </c>
      <c r="G101" s="82">
        <f t="shared" ref="G101:J105" si="15">IF(G91=0,0,G91/G$96)</f>
        <v>0.63455612010654472</v>
      </c>
      <c r="H101" s="82">
        <f>IF(H91=0,0,H91/H$96)</f>
        <v>0.68207637992465542</v>
      </c>
      <c r="I101" s="82">
        <f t="shared" si="15"/>
        <v>0.61307697775134373</v>
      </c>
      <c r="J101" s="82">
        <f t="shared" si="15"/>
        <v>0.27581035874956755</v>
      </c>
    </row>
    <row r="102" spans="1:15" ht="12" customHeight="1" outlineLevel="1">
      <c r="B102" s="70" t="str">
        <f>'Name labels'!$C$12</f>
        <v>Load group 2</v>
      </c>
      <c r="C102" s="118"/>
      <c r="D102" s="82">
        <f t="shared" si="14"/>
        <v>0.16267458344189978</v>
      </c>
      <c r="G102" s="82">
        <f t="shared" si="15"/>
        <v>0.14516923716117536</v>
      </c>
      <c r="H102" s="82">
        <f t="shared" si="15"/>
        <v>0.1662170361221256</v>
      </c>
      <c r="I102" s="82">
        <f t="shared" si="15"/>
        <v>0.20563156591878162</v>
      </c>
      <c r="J102" s="82">
        <f t="shared" si="15"/>
        <v>6.3444457261506507E-3</v>
      </c>
    </row>
    <row r="103" spans="1:15" ht="12" customHeight="1" outlineLevel="1">
      <c r="B103" s="70" t="str">
        <f>'Name labels'!$C$13</f>
        <v>Load group 3</v>
      </c>
      <c r="C103" s="118"/>
      <c r="D103" s="82">
        <f t="shared" si="14"/>
        <v>7.8851185496504411E-2</v>
      </c>
      <c r="G103" s="82">
        <f t="shared" si="15"/>
        <v>8.7460708544873131E-2</v>
      </c>
      <c r="H103" s="82">
        <f t="shared" si="15"/>
        <v>6.9908649932051994E-2</v>
      </c>
      <c r="I103" s="82">
        <f t="shared" si="15"/>
        <v>6.753107973748991E-2</v>
      </c>
      <c r="J103" s="82">
        <f t="shared" si="15"/>
        <v>0</v>
      </c>
    </row>
    <row r="104" spans="1:15" ht="12" customHeight="1" outlineLevel="1">
      <c r="B104" s="70" t="str">
        <f>'Name labels'!$C$14</f>
        <v>Load group 4</v>
      </c>
      <c r="C104" s="118"/>
      <c r="D104" s="82">
        <f t="shared" si="14"/>
        <v>9.0070435290023412E-2</v>
      </c>
      <c r="G104" s="82">
        <f t="shared" si="15"/>
        <v>9.2655026566951584E-2</v>
      </c>
      <c r="H104" s="82">
        <f t="shared" si="15"/>
        <v>7.5384701107901617E-2</v>
      </c>
      <c r="I104" s="82">
        <f t="shared" si="15"/>
        <v>0.10028193776454647</v>
      </c>
      <c r="J104" s="82">
        <f>IF(J94=0,0,J94/J$96)</f>
        <v>0</v>
      </c>
    </row>
    <row r="105" spans="1:15" ht="12" customHeight="1" outlineLevel="1">
      <c r="B105" s="70" t="str">
        <f>'Name labels'!$C$15</f>
        <v>Load group 5</v>
      </c>
      <c r="C105" s="118"/>
      <c r="D105" s="82">
        <f t="shared" si="14"/>
        <v>2.2625374596173274E-2</v>
      </c>
      <c r="G105" s="82">
        <f t="shared" si="15"/>
        <v>3.6957329535581875E-2</v>
      </c>
      <c r="H105" s="82">
        <f t="shared" si="15"/>
        <v>1.5671288342418723E-3</v>
      </c>
      <c r="I105" s="82">
        <f t="shared" si="15"/>
        <v>8.7579624338965864E-3</v>
      </c>
      <c r="J105" s="82">
        <f t="shared" si="15"/>
        <v>0</v>
      </c>
    </row>
    <row r="106" spans="1:15" s="88" customFormat="1" ht="12" customHeight="1" outlineLevel="1">
      <c r="B106" s="88" t="s">
        <v>7</v>
      </c>
      <c r="C106" s="163"/>
      <c r="D106" s="167">
        <f t="shared" si="14"/>
        <v>1</v>
      </c>
      <c r="G106" s="167">
        <f>SUM(G100:G105)</f>
        <v>0.99999999999999978</v>
      </c>
      <c r="H106" s="167">
        <f>SUM(H100:H105)</f>
        <v>1</v>
      </c>
      <c r="I106" s="167">
        <f>SUM(I100:I105)</f>
        <v>1</v>
      </c>
      <c r="J106" s="167">
        <f>SUM(J100:J105)</f>
        <v>1</v>
      </c>
      <c r="K106" s="70"/>
    </row>
    <row r="108" spans="1:15" ht="12" customHeight="1">
      <c r="A108" s="70">
        <v>4</v>
      </c>
      <c r="B108" s="160" t="s">
        <v>198</v>
      </c>
      <c r="C108" s="77"/>
      <c r="D108" s="77"/>
      <c r="E108" s="95"/>
      <c r="F108" s="95"/>
      <c r="G108" s="77" t="str">
        <f>G86</f>
        <v>Dunedin</v>
      </c>
      <c r="H108" s="77" t="str">
        <f t="shared" ref="H108:J108" si="16">H86</f>
        <v>Central Otago</v>
      </c>
      <c r="I108" s="77" t="str">
        <f t="shared" si="16"/>
        <v>Queenstown</v>
      </c>
      <c r="J108" s="77" t="str">
        <f t="shared" si="16"/>
        <v>Te Anau</v>
      </c>
    </row>
    <row r="109" spans="1:15" ht="12" customHeight="1">
      <c r="B109" s="161" t="str">
        <f>B100</f>
        <v>Load group Streetlighting</v>
      </c>
    </row>
    <row r="110" spans="1:15" ht="12" customHeight="1">
      <c r="B110" s="70" t="str">
        <f>B38</f>
        <v>LV - CPD</v>
      </c>
      <c r="G110" s="82">
        <f>G52</f>
        <v>4.0892424826734879E-3</v>
      </c>
      <c r="H110" s="82">
        <f t="shared" ref="H110:J110" si="17">H52</f>
        <v>5.6803183590755455E-3</v>
      </c>
      <c r="I110" s="82">
        <f t="shared" si="17"/>
        <v>5.7327058907571324E-3</v>
      </c>
      <c r="J110" s="82">
        <f t="shared" si="17"/>
        <v>0.71784519552428183</v>
      </c>
    </row>
    <row r="111" spans="1:15" ht="12" customHeight="1">
      <c r="B111" s="70" t="str">
        <f>B62</f>
        <v>HV - CPD</v>
      </c>
      <c r="G111" s="82">
        <f>G76</f>
        <v>0</v>
      </c>
      <c r="H111" s="82">
        <f t="shared" ref="H111:J111" si="18">H76</f>
        <v>0</v>
      </c>
      <c r="I111" s="82">
        <f t="shared" si="18"/>
        <v>0</v>
      </c>
      <c r="J111" s="82">
        <f t="shared" si="18"/>
        <v>0</v>
      </c>
    </row>
    <row r="112" spans="1:15" ht="12" customHeight="1">
      <c r="B112" s="70" t="str">
        <f>B86</f>
        <v>Shared - CPD</v>
      </c>
      <c r="G112" s="82">
        <f>G100</f>
        <v>3.2015780848731841E-3</v>
      </c>
      <c r="H112" s="82">
        <f t="shared" ref="H112:J112" si="19">H100</f>
        <v>4.8461040790235086E-3</v>
      </c>
      <c r="I112" s="82">
        <f t="shared" si="19"/>
        <v>4.7204763939416496E-3</v>
      </c>
      <c r="J112" s="82">
        <f t="shared" si="19"/>
        <v>0.71784519552428183</v>
      </c>
    </row>
    <row r="113" spans="2:10" ht="12" customHeight="1">
      <c r="B113" s="161" t="str">
        <f>B101</f>
        <v>Load group 1 (incl residential)</v>
      </c>
    </row>
    <row r="114" spans="2:10" ht="12" customHeight="1">
      <c r="B114" s="70" t="str">
        <f>B110</f>
        <v>LV - CPD</v>
      </c>
      <c r="G114" s="82">
        <f>G53</f>
        <v>0.8104921308152091</v>
      </c>
      <c r="H114" s="82">
        <f t="shared" ref="H114:J114" si="20">H53</f>
        <v>0.7994898417366435</v>
      </c>
      <c r="I114" s="82">
        <f t="shared" si="20"/>
        <v>0.74454137856793434</v>
      </c>
      <c r="J114" s="82">
        <f t="shared" si="20"/>
        <v>0.27581035874956755</v>
      </c>
    </row>
    <row r="115" spans="2:10" ht="12" customHeight="1">
      <c r="B115" s="70" t="str">
        <f t="shared" ref="B115:B116" si="21">B111</f>
        <v>HV - CPD</v>
      </c>
      <c r="G115" s="82">
        <f>G77</f>
        <v>0</v>
      </c>
      <c r="H115" s="82">
        <f t="shared" ref="H115:J115" si="22">H77</f>
        <v>0</v>
      </c>
      <c r="I115" s="82">
        <f t="shared" si="22"/>
        <v>0</v>
      </c>
      <c r="J115" s="82">
        <f t="shared" si="22"/>
        <v>0</v>
      </c>
    </row>
    <row r="116" spans="2:10" ht="12" customHeight="1">
      <c r="B116" s="70" t="str">
        <f t="shared" si="21"/>
        <v>Shared - CPD</v>
      </c>
      <c r="G116" s="82">
        <f>G101</f>
        <v>0.63455612010654472</v>
      </c>
      <c r="H116" s="82">
        <f t="shared" ref="H116:J116" si="23">H101</f>
        <v>0.68207637992465542</v>
      </c>
      <c r="I116" s="82">
        <f t="shared" si="23"/>
        <v>0.61307697775134373</v>
      </c>
      <c r="J116" s="82">
        <f t="shared" si="23"/>
        <v>0.27581035874956755</v>
      </c>
    </row>
    <row r="117" spans="2:10" ht="12" customHeight="1">
      <c r="B117" s="161" t="str">
        <f>B102</f>
        <v>Load group 2</v>
      </c>
    </row>
    <row r="118" spans="2:10" ht="12" customHeight="1">
      <c r="B118" s="70" t="str">
        <f>B114</f>
        <v>LV - CPD</v>
      </c>
      <c r="G118" s="82">
        <f>G54</f>
        <v>0.18541862670211748</v>
      </c>
      <c r="H118" s="82">
        <f t="shared" ref="H118:J118" si="24">H54</f>
        <v>0.19482983990428099</v>
      </c>
      <c r="I118" s="82">
        <f t="shared" si="24"/>
        <v>0.24972591554130852</v>
      </c>
      <c r="J118" s="82">
        <f t="shared" si="24"/>
        <v>6.3444457261506507E-3</v>
      </c>
    </row>
    <row r="119" spans="2:10" ht="12" customHeight="1">
      <c r="B119" s="70" t="str">
        <f t="shared" ref="B119:B120" si="25">B115</f>
        <v>HV - CPD</v>
      </c>
      <c r="G119" s="82">
        <f>G78</f>
        <v>0</v>
      </c>
      <c r="H119" s="82">
        <f t="shared" ref="H119:J119" si="26">H78</f>
        <v>0</v>
      </c>
      <c r="I119" s="82">
        <f t="shared" si="26"/>
        <v>0</v>
      </c>
      <c r="J119" s="82">
        <f t="shared" si="26"/>
        <v>0</v>
      </c>
    </row>
    <row r="120" spans="2:10" ht="12" customHeight="1">
      <c r="B120" s="70" t="str">
        <f t="shared" si="25"/>
        <v>Shared - CPD</v>
      </c>
      <c r="G120" s="82">
        <f>G102</f>
        <v>0.14516923716117536</v>
      </c>
      <c r="H120" s="82">
        <f t="shared" ref="H120:J120" si="27">H102</f>
        <v>0.1662170361221256</v>
      </c>
      <c r="I120" s="82">
        <f t="shared" si="27"/>
        <v>0.20563156591878162</v>
      </c>
      <c r="J120" s="82">
        <f t="shared" si="27"/>
        <v>6.3444457261506507E-3</v>
      </c>
    </row>
    <row r="121" spans="2:10" ht="12" customHeight="1">
      <c r="B121" s="161" t="str">
        <f>B103</f>
        <v>Load group 3</v>
      </c>
    </row>
    <row r="122" spans="2:10" ht="12" customHeight="1">
      <c r="B122" s="70" t="str">
        <f>B118</f>
        <v>LV - CPD</v>
      </c>
      <c r="G122" s="82">
        <f>G55</f>
        <v>0</v>
      </c>
      <c r="H122" s="82">
        <f t="shared" ref="H122:J122" si="28">H55</f>
        <v>0</v>
      </c>
      <c r="I122" s="82">
        <f t="shared" si="28"/>
        <v>0</v>
      </c>
      <c r="J122" s="82">
        <f t="shared" si="28"/>
        <v>0</v>
      </c>
    </row>
    <row r="123" spans="2:10" ht="12" customHeight="1">
      <c r="B123" s="70" t="str">
        <f t="shared" ref="B123:B124" si="29">B119</f>
        <v>HV - CPD</v>
      </c>
      <c r="G123" s="82">
        <f>G79</f>
        <v>0.4029090789635103</v>
      </c>
      <c r="H123" s="82">
        <f t="shared" ref="H123:J123" si="30">H79</f>
        <v>0.47602084639746212</v>
      </c>
      <c r="I123" s="82">
        <f t="shared" si="30"/>
        <v>0.38245854308557892</v>
      </c>
      <c r="J123" s="82">
        <f t="shared" si="30"/>
        <v>0.42046282281551711</v>
      </c>
    </row>
    <row r="124" spans="2:10" ht="12" customHeight="1">
      <c r="B124" s="70" t="str">
        <f t="shared" si="29"/>
        <v>Shared - CPD</v>
      </c>
      <c r="G124" s="82">
        <f>G103</f>
        <v>8.7460708544873131E-2</v>
      </c>
      <c r="H124" s="82">
        <f t="shared" ref="H124:J124" si="31">H103</f>
        <v>6.9908649932051994E-2</v>
      </c>
      <c r="I124" s="82">
        <f t="shared" si="31"/>
        <v>6.753107973748991E-2</v>
      </c>
      <c r="J124" s="82">
        <f t="shared" si="31"/>
        <v>0</v>
      </c>
    </row>
    <row r="125" spans="2:10" ht="12" customHeight="1">
      <c r="B125" s="161" t="str">
        <f>B104</f>
        <v>Load group 4</v>
      </c>
    </row>
    <row r="126" spans="2:10" ht="12" customHeight="1">
      <c r="B126" s="70" t="str">
        <f>B122</f>
        <v>LV - CPD</v>
      </c>
      <c r="G126" s="82">
        <f>G56</f>
        <v>0</v>
      </c>
      <c r="H126" s="82">
        <f t="shared" ref="H126:J126" si="32">H56</f>
        <v>0</v>
      </c>
      <c r="I126" s="82">
        <f t="shared" si="32"/>
        <v>0</v>
      </c>
      <c r="J126" s="82">
        <f t="shared" si="32"/>
        <v>0</v>
      </c>
    </row>
    <row r="127" spans="2:10" ht="12" customHeight="1">
      <c r="B127" s="70" t="str">
        <f t="shared" ref="B127:B128" si="33">B123</f>
        <v>HV - CPD</v>
      </c>
      <c r="G127" s="82">
        <f>G80</f>
        <v>0.42683797143349789</v>
      </c>
      <c r="H127" s="82">
        <f t="shared" ref="H127:J127" si="34">H80</f>
        <v>0.51330828533638262</v>
      </c>
      <c r="I127" s="82">
        <f t="shared" si="34"/>
        <v>0.56794122001776726</v>
      </c>
      <c r="J127" s="82">
        <f t="shared" si="34"/>
        <v>0.50269582559588255</v>
      </c>
    </row>
    <row r="128" spans="2:10" ht="12" customHeight="1">
      <c r="B128" s="70" t="str">
        <f t="shared" si="33"/>
        <v>Shared - CPD</v>
      </c>
      <c r="G128" s="82">
        <f>G104</f>
        <v>9.2655026566951584E-2</v>
      </c>
      <c r="H128" s="82">
        <f t="shared" ref="H128:J128" si="35">H104</f>
        <v>7.5384701107901617E-2</v>
      </c>
      <c r="I128" s="82">
        <f t="shared" si="35"/>
        <v>0.10028193776454647</v>
      </c>
      <c r="J128" s="82">
        <f t="shared" si="35"/>
        <v>0</v>
      </c>
    </row>
    <row r="129" spans="2:10" ht="12" customHeight="1">
      <c r="B129" s="161" t="str">
        <f>B105</f>
        <v>Load group 5</v>
      </c>
    </row>
    <row r="130" spans="2:10" ht="12" customHeight="1">
      <c r="B130" s="70" t="str">
        <f>B126</f>
        <v>LV - CPD</v>
      </c>
      <c r="G130" s="82">
        <f>G57</f>
        <v>0</v>
      </c>
      <c r="H130" s="82">
        <f t="shared" ref="H130:J130" si="36">H57</f>
        <v>0</v>
      </c>
      <c r="I130" s="82">
        <f t="shared" si="36"/>
        <v>0</v>
      </c>
      <c r="J130" s="82">
        <f t="shared" si="36"/>
        <v>0</v>
      </c>
    </row>
    <row r="131" spans="2:10" ht="12" customHeight="1">
      <c r="B131" s="70" t="str">
        <f t="shared" ref="B131:B132" si="37">B127</f>
        <v>HV - CPD</v>
      </c>
      <c r="G131" s="82">
        <f>G81</f>
        <v>0.17025294960299167</v>
      </c>
      <c r="H131" s="82">
        <f t="shared" ref="H131:J131" si="38">H81</f>
        <v>1.0670868266155167E-2</v>
      </c>
      <c r="I131" s="82">
        <f t="shared" si="38"/>
        <v>4.9600236896653833E-2</v>
      </c>
      <c r="J131" s="82">
        <f t="shared" si="38"/>
        <v>7.6841351588600226E-2</v>
      </c>
    </row>
    <row r="132" spans="2:10" ht="12" customHeight="1">
      <c r="B132" s="70" t="str">
        <f t="shared" si="37"/>
        <v>Shared - CPD</v>
      </c>
      <c r="G132" s="82">
        <f>G105</f>
        <v>3.6957329535581875E-2</v>
      </c>
      <c r="H132" s="82">
        <f t="shared" ref="H132:J132" si="39">H105</f>
        <v>1.5671288342418723E-3</v>
      </c>
      <c r="I132" s="82">
        <f t="shared" si="39"/>
        <v>8.7579624338965864E-3</v>
      </c>
      <c r="J132" s="82">
        <f t="shared" si="39"/>
        <v>0</v>
      </c>
    </row>
    <row r="134" spans="2:10" ht="12" customHeight="1">
      <c r="B134" s="72" t="s">
        <v>199</v>
      </c>
      <c r="G134" s="83">
        <f>IF((G110+G114+G118+G122+G126+G130)=1,0,1)</f>
        <v>0</v>
      </c>
      <c r="H134" s="83">
        <f>IF((H110+H114+H118+H122+H126+H130)=1,0,1)</f>
        <v>0</v>
      </c>
      <c r="I134" s="83">
        <f t="shared" ref="I134:J134" si="40">IF((I110+I114+I118+I122+I126+I130)=1,0,1)</f>
        <v>0</v>
      </c>
      <c r="J134" s="83">
        <f t="shared" si="40"/>
        <v>0</v>
      </c>
    </row>
    <row r="135" spans="2:10" ht="12" customHeight="1">
      <c r="B135" s="83">
        <f>IF(SUM(G134:J136)&gt;0.0001,1,0)</f>
        <v>0</v>
      </c>
      <c r="G135" s="83">
        <f t="shared" ref="G135:J136" si="41">IF((G111+G115+G119+G123+G127+G131)=1,0,1)</f>
        <v>0</v>
      </c>
      <c r="H135" s="83">
        <f t="shared" si="41"/>
        <v>0</v>
      </c>
      <c r="I135" s="83">
        <f t="shared" si="41"/>
        <v>0</v>
      </c>
      <c r="J135" s="83">
        <f t="shared" si="41"/>
        <v>0</v>
      </c>
    </row>
    <row r="136" spans="2:10" ht="12" customHeight="1">
      <c r="G136" s="83">
        <f t="shared" si="41"/>
        <v>0</v>
      </c>
      <c r="H136" s="83">
        <f t="shared" si="41"/>
        <v>0</v>
      </c>
      <c r="I136" s="83">
        <f t="shared" si="41"/>
        <v>0</v>
      </c>
      <c r="J136" s="83">
        <f t="shared" si="41"/>
        <v>0</v>
      </c>
    </row>
  </sheetData>
  <sheetProtection algorithmName="SHA-512" hashValue="KJ4xOyzhEI1qAz68SBt8pPtM/Q+xkN9OKyol0zbWto54mJDKZ7jHJQg6isE+ihRVYWZswtdGpjSjzTX1b9QSSg==" saltValue="Wvr00L5SGF59E0z/xvqD8w==" spinCount="100000" sheet="1" objects="1" scenarios="1"/>
  <conditionalFormatting sqref="G134:J136">
    <cfRule type="cellIs" dxfId="57" priority="3" stopIfTrue="1" operator="equal">
      <formula>0</formula>
    </cfRule>
    <cfRule type="cellIs" dxfId="56" priority="4" stopIfTrue="1" operator="notEqual">
      <formula>0</formula>
    </cfRule>
  </conditionalFormatting>
  <conditionalFormatting sqref="B135">
    <cfRule type="cellIs" dxfId="55" priority="1" stopIfTrue="1" operator="equal">
      <formula>0</formula>
    </cfRule>
    <cfRule type="cellIs" dxfId="54" priority="2" stopIfTrue="1" operator="notEqual">
      <formula>0</formula>
    </cfRule>
  </conditionalFormatting>
  <pageMargins left="0.7" right="0.7" top="0.75" bottom="0.75" header="0.3" footer="0.3"/>
  <pageSetup paperSize="8" scale="4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E3FE391-8776-4926-BC17-B33C94D8CFC6}">
          <x14:formula1>
            <xm:f>'Name labels'!$D$47:$D$58</xm:f>
          </x14:formula1>
          <xm:sqref>C25:C27</xm:sqref>
        </x14:dataValidation>
        <x14:dataValidation type="list" allowBlank="1" showInputMessage="1" showErrorMessage="1" xr:uid="{A93DB318-8E8B-454E-A720-B23D3F8CD2CB}">
          <x14:formula1>
            <xm:f>'Name labels'!$C$68:$C$70</xm:f>
          </x14:formula1>
          <xm:sqref>C12:C21</xm:sqref>
        </x14:dataValidation>
        <x14:dataValidation type="list" allowBlank="1" showInputMessage="1" showErrorMessage="1" xr:uid="{856ECA49-B479-4400-B9DE-D91753FB6CD9}">
          <x14:formula1>
            <xm:f>'Name labels'!$D$68:$D$69</xm:f>
          </x14:formula1>
          <xm:sqref>C31:E36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7"/>
    <outlinePr summaryBelow="0"/>
    <pageSetUpPr fitToPage="1"/>
  </sheetPr>
  <dimension ref="B2"/>
  <sheetViews>
    <sheetView showGridLines="0" workbookViewId="0">
      <selection activeCell="K16" sqref="K16"/>
    </sheetView>
  </sheetViews>
  <sheetFormatPr defaultColWidth="9.140625" defaultRowHeight="15" customHeight="1"/>
  <cols>
    <col min="1" max="1" width="2.7109375" style="1" customWidth="1"/>
    <col min="2" max="16384" width="9.140625" style="1"/>
  </cols>
  <sheetData>
    <row r="2" spans="2:2" ht="15" customHeight="1">
      <c r="B2" s="7" t="s">
        <v>157</v>
      </c>
    </row>
  </sheetData>
  <sheetProtection algorithmName="SHA-512" hashValue="JFhVlSQ8Llcr5qewMr0CPgdyOvvEvi00amTctO2R4exWboK8jQ2uonnWRjeh+jwdtu5/FEDJyUgS1AACIJsfMg==" saltValue="Qc0zX9BKxdO4WiUjFxiqYg==" spinCount="100000" sheet="1" objects="1" scenarios="1"/>
  <pageMargins left="0.70866141732283472" right="0.70866141732283472" top="0.74803149606299213" bottom="0.74803149606299213" header="0.31496062992125984" footer="0.31496062992125984"/>
  <pageSetup paperSize="9"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fitToPage="1"/>
  </sheetPr>
  <dimension ref="A2:M61"/>
  <sheetViews>
    <sheetView showGridLines="0" workbookViewId="0">
      <selection activeCell="I19" sqref="I19"/>
    </sheetView>
  </sheetViews>
  <sheetFormatPr defaultColWidth="9.140625" defaultRowHeight="12" customHeight="1"/>
  <cols>
    <col min="1" max="1" width="4.5703125" style="70" customWidth="1"/>
    <col min="2" max="2" width="45" style="70" customWidth="1"/>
    <col min="3" max="3" width="26.140625" style="70" bestFit="1" customWidth="1"/>
    <col min="4" max="4" width="32.140625" style="70" bestFit="1" customWidth="1"/>
    <col min="5" max="5" width="14.42578125" style="70" customWidth="1"/>
    <col min="6" max="6" width="13" style="70" customWidth="1"/>
    <col min="7" max="7" width="2.7109375" style="70" customWidth="1"/>
    <col min="8" max="8" width="11.42578125" style="70" customWidth="1"/>
    <col min="9" max="9" width="15" style="70" customWidth="1"/>
    <col min="10" max="11" width="11.42578125" style="70" customWidth="1"/>
    <col min="12" max="16384" width="9.140625" style="70"/>
  </cols>
  <sheetData>
    <row r="2" spans="1:13" ht="15" customHeight="1">
      <c r="B2" s="71" t="str">
        <f ca="1">MID(CELL("filename",A1),FIND("]",CELL("filename",A1))+1,255)</f>
        <v>Pricing Area Allocations</v>
      </c>
      <c r="C2" s="71"/>
    </row>
    <row r="3" spans="1:13" ht="12" customHeight="1">
      <c r="B3" s="72" t="str">
        <f>'Name labels'!B8</f>
        <v>Pricing Area Name</v>
      </c>
      <c r="C3" s="72"/>
      <c r="D3" s="73"/>
      <c r="E3" s="73"/>
      <c r="F3" s="73"/>
      <c r="G3" s="73"/>
      <c r="H3" s="74" t="str">
        <f>'Name labels'!B10</f>
        <v>Dunedin</v>
      </c>
      <c r="I3" s="74" t="str">
        <f>'Name labels'!B11</f>
        <v>Central Otago</v>
      </c>
      <c r="J3" s="74" t="str">
        <f>'Name labels'!B12</f>
        <v>Queenstown</v>
      </c>
      <c r="K3" s="74" t="str">
        <f>'Name labels'!B13</f>
        <v>Te Anau</v>
      </c>
      <c r="L3" s="75"/>
      <c r="M3" s="75"/>
    </row>
    <row r="4" spans="1:13" ht="12" customHeight="1">
      <c r="B4" s="72"/>
      <c r="C4" s="72"/>
      <c r="D4" s="73"/>
      <c r="E4" s="73"/>
      <c r="F4" s="73"/>
      <c r="G4" s="73"/>
      <c r="H4" s="76">
        <v>1</v>
      </c>
      <c r="I4" s="76">
        <v>2</v>
      </c>
      <c r="J4" s="76">
        <v>3</v>
      </c>
      <c r="K4" s="76">
        <v>4</v>
      </c>
      <c r="L4" s="75"/>
      <c r="M4" s="75"/>
    </row>
    <row r="7" spans="1:13" ht="12" customHeight="1">
      <c r="B7" s="72" t="s">
        <v>60</v>
      </c>
      <c r="C7" s="72"/>
      <c r="D7" s="77"/>
      <c r="E7" s="75"/>
      <c r="F7" s="75"/>
      <c r="G7" s="75"/>
      <c r="H7" s="75"/>
      <c r="I7" s="75"/>
      <c r="J7" s="75"/>
      <c r="K7" s="75"/>
      <c r="L7" s="75"/>
      <c r="M7" s="75"/>
    </row>
    <row r="9" spans="1:13" ht="12" customHeight="1">
      <c r="B9" s="78" t="s">
        <v>200</v>
      </c>
      <c r="C9" s="79"/>
    </row>
    <row r="10" spans="1:13" ht="12" customHeight="1">
      <c r="B10" s="70" t="s">
        <v>242</v>
      </c>
    </row>
    <row r="12" spans="1:13" ht="12" customHeight="1">
      <c r="B12" s="72" t="s">
        <v>201</v>
      </c>
      <c r="C12" s="72"/>
      <c r="D12" s="80"/>
      <c r="E12" s="80"/>
      <c r="F12" s="80"/>
      <c r="G12" s="80"/>
      <c r="H12" s="80" t="str">
        <f>H3</f>
        <v>Dunedin</v>
      </c>
      <c r="I12" s="80" t="str">
        <f t="shared" ref="I12:K12" si="0">I3</f>
        <v>Central Otago</v>
      </c>
      <c r="J12" s="80" t="str">
        <f t="shared" si="0"/>
        <v>Queenstown</v>
      </c>
      <c r="K12" s="80" t="str">
        <f t="shared" si="0"/>
        <v>Te Anau</v>
      </c>
      <c r="L12" s="80"/>
      <c r="M12" s="80" t="s">
        <v>202</v>
      </c>
    </row>
    <row r="14" spans="1:13" ht="12" customHeight="1">
      <c r="A14" s="70">
        <v>1</v>
      </c>
      <c r="B14" s="81" t="str">
        <f>'Name labels'!B47</f>
        <v>ICP Count</v>
      </c>
      <c r="C14" s="81"/>
      <c r="H14" s="82">
        <f>'Allocator Data'!I23</f>
        <v>0.61090246205881704</v>
      </c>
      <c r="I14" s="82">
        <f>'Allocator Data'!J23</f>
        <v>0.23451055324943446</v>
      </c>
      <c r="J14" s="82">
        <f>'Allocator Data'!K23</f>
        <v>0.15308251520941776</v>
      </c>
      <c r="K14" s="82">
        <f>'Allocator Data'!L23</f>
        <v>1.5044694823307197E-3</v>
      </c>
      <c r="M14" s="83">
        <f>IF(SUM(H14:K14)=1,0,1)</f>
        <v>0</v>
      </c>
    </row>
    <row r="15" spans="1:13" ht="12" customHeight="1">
      <c r="A15" s="70">
        <v>2</v>
      </c>
      <c r="B15" s="81" t="str">
        <f>'Name labels'!B48</f>
        <v>Total Circuit Length</v>
      </c>
      <c r="C15" s="81"/>
      <c r="H15" s="82">
        <f>'Allocator Data'!I41</f>
        <v>0.38678785911378022</v>
      </c>
      <c r="I15" s="82">
        <f>'Allocator Data'!J41</f>
        <v>0.4486284694043175</v>
      </c>
      <c r="J15" s="82">
        <f>'Allocator Data'!K41</f>
        <v>0.16360980360331115</v>
      </c>
      <c r="K15" s="82">
        <f>'Allocator Data'!L41</f>
        <v>9.7386787859113778E-4</v>
      </c>
      <c r="M15" s="83">
        <f>IF(SUM(H15:K15)=1,0,1)</f>
        <v>0</v>
      </c>
    </row>
    <row r="16" spans="1:13" ht="12" customHeight="1">
      <c r="A16" s="70">
        <v>3</v>
      </c>
      <c r="B16" s="81" t="str">
        <f>'Name labels'!B49</f>
        <v>Overhead Circuit Length</v>
      </c>
      <c r="C16" s="81"/>
      <c r="H16" s="82">
        <f>'Allocator Data'!I49</f>
        <v>0.43915069911962712</v>
      </c>
      <c r="I16" s="82">
        <f>'Allocator Data'!J49</f>
        <v>0.45390989124805803</v>
      </c>
      <c r="J16" s="82">
        <f>'Allocator Data'!K49</f>
        <v>0.10693940963231487</v>
      </c>
      <c r="K16" s="82">
        <f>'Allocator Data'!L49</f>
        <v>0</v>
      </c>
      <c r="M16" s="83">
        <f t="shared" ref="M16:M24" si="1">IF(SUM(H16:K16)=1,0,1)</f>
        <v>0</v>
      </c>
    </row>
    <row r="17" spans="1:13" ht="12" customHeight="1">
      <c r="A17" s="70">
        <v>4</v>
      </c>
      <c r="B17" s="81" t="str">
        <f>'Name labels'!B50</f>
        <v>CPD</v>
      </c>
      <c r="C17" s="81"/>
      <c r="H17" s="82">
        <f>'Allocator Data'!I63</f>
        <v>0.55109978571427987</v>
      </c>
      <c r="I17" s="82">
        <f>'Allocator Data'!J63</f>
        <v>0.22895100004144761</v>
      </c>
      <c r="J17" s="82">
        <f>'Allocator Data'!K63</f>
        <v>0.21687721420192618</v>
      </c>
      <c r="K17" s="82">
        <f>'Allocator Data'!L63</f>
        <v>3.0720000423462182E-3</v>
      </c>
      <c r="M17" s="83">
        <f t="shared" si="1"/>
        <v>0</v>
      </c>
    </row>
    <row r="18" spans="1:13" ht="12" customHeight="1">
      <c r="A18" s="70">
        <v>5</v>
      </c>
      <c r="B18" s="81" t="str">
        <f>'Name labels'!B51</f>
        <v>Transpower connection and interconnection</v>
      </c>
      <c r="C18" s="81"/>
      <c r="H18" s="82">
        <f>'Allocator Data'!I81</f>
        <v>0.5786220255474066</v>
      </c>
      <c r="I18" s="82">
        <f>'Allocator Data'!J81</f>
        <v>0.15818260867109285</v>
      </c>
      <c r="J18" s="82">
        <f>'Allocator Data'!K81</f>
        <v>0.26319536578150055</v>
      </c>
      <c r="K18" s="82">
        <f>'Allocator Data'!L81</f>
        <v>0</v>
      </c>
      <c r="M18" s="83">
        <f t="shared" si="1"/>
        <v>0</v>
      </c>
    </row>
    <row r="19" spans="1:13" ht="12" customHeight="1">
      <c r="A19" s="70">
        <v>6</v>
      </c>
      <c r="B19" s="81" t="str">
        <f>'Name labels'!B52</f>
        <v>Transpower new investment contract</v>
      </c>
      <c r="C19" s="81"/>
      <c r="H19" s="82">
        <f>'Allocator Data'!I89</f>
        <v>8.6994362917449594E-2</v>
      </c>
      <c r="I19" s="82">
        <f>'Allocator Data'!J89</f>
        <v>0.91300563708255045</v>
      </c>
      <c r="J19" s="82">
        <f>'Allocator Data'!K89</f>
        <v>0</v>
      </c>
      <c r="K19" s="82">
        <f>'Allocator Data'!L89</f>
        <v>0</v>
      </c>
      <c r="M19" s="83">
        <f t="shared" si="1"/>
        <v>0</v>
      </c>
    </row>
    <row r="20" spans="1:13" ht="12" customHeight="1">
      <c r="A20" s="70">
        <v>7</v>
      </c>
      <c r="B20" s="81" t="str">
        <f>'Name labels'!B53</f>
        <v>Distributed Generation Allowance</v>
      </c>
      <c r="C20" s="81"/>
      <c r="H20" s="82">
        <f>'Allocator Data'!I97</f>
        <v>0.90444516207161019</v>
      </c>
      <c r="I20" s="82">
        <f>'Allocator Data'!J97</f>
        <v>6.255923787994995E-2</v>
      </c>
      <c r="J20" s="82">
        <f>'Allocator Data'!K97</f>
        <v>3.2995600048439835E-2</v>
      </c>
      <c r="K20" s="82">
        <f>'Allocator Data'!L97</f>
        <v>0</v>
      </c>
      <c r="M20" s="83">
        <f t="shared" si="1"/>
        <v>0</v>
      </c>
    </row>
    <row r="21" spans="1:13" ht="12" customHeight="1">
      <c r="A21" s="70">
        <v>8</v>
      </c>
      <c r="B21" s="81" t="str">
        <f>'Name labels'!B54</f>
        <v>Prior year distribution revenue</v>
      </c>
      <c r="C21" s="81"/>
      <c r="H21" s="82">
        <f>'Allocator Data'!I111</f>
        <v>0.49457492449108159</v>
      </c>
      <c r="I21" s="82">
        <f>'Allocator Data'!J111</f>
        <v>0.33702460111603216</v>
      </c>
      <c r="J21" s="82">
        <f>'Allocator Data'!K111</f>
        <v>0.16715734998723777</v>
      </c>
      <c r="K21" s="82">
        <f>'Allocator Data'!L111</f>
        <v>1.2431244056484063E-3</v>
      </c>
      <c r="M21" s="83">
        <f t="shared" si="1"/>
        <v>0</v>
      </c>
    </row>
    <row r="22" spans="1:13" ht="12" customHeight="1">
      <c r="A22" s="70">
        <v>9</v>
      </c>
      <c r="B22" s="81" t="str">
        <f>'Name labels'!B55</f>
        <v>MWh</v>
      </c>
      <c r="C22" s="81"/>
      <c r="H22" s="82">
        <f>'Allocator Data'!I135</f>
        <v>0.60263063184996291</v>
      </c>
      <c r="I22" s="82">
        <f>'Allocator Data'!J135</f>
        <v>0.21949795904556543</v>
      </c>
      <c r="J22" s="82">
        <f>'Allocator Data'!K135</f>
        <v>0.17724389636196411</v>
      </c>
      <c r="K22" s="82">
        <f>'Allocator Data'!L135</f>
        <v>6.2751274250752865E-4</v>
      </c>
      <c r="M22" s="83">
        <f>IF(SUM(H22:K22)=1,0,1)</f>
        <v>0</v>
      </c>
    </row>
    <row r="23" spans="1:13" ht="12" customHeight="1">
      <c r="A23" s="70">
        <v>10</v>
      </c>
      <c r="B23" s="81" t="str">
        <f>'Name labels'!B56</f>
        <v>Regulated Asset Base</v>
      </c>
      <c r="C23" s="81"/>
      <c r="H23" s="82">
        <f>'Allocator Data'!I163</f>
        <v>0.46899912370660241</v>
      </c>
      <c r="I23" s="82">
        <f>'Allocator Data'!J163</f>
        <v>0.33321288103091307</v>
      </c>
      <c r="J23" s="82">
        <f>'Allocator Data'!K163</f>
        <v>0.19688311466230976</v>
      </c>
      <c r="K23" s="82">
        <f>'Allocator Data'!L163</f>
        <v>9.0488060017488348E-4</v>
      </c>
      <c r="M23" s="83">
        <f t="shared" si="1"/>
        <v>0</v>
      </c>
    </row>
    <row r="24" spans="1:13" ht="12" customHeight="1">
      <c r="A24" s="70">
        <v>11</v>
      </c>
      <c r="B24" s="81" t="str">
        <f>'Name labels'!B57</f>
        <v>Regulated Asset Base (Depreciation)</v>
      </c>
      <c r="C24" s="81"/>
      <c r="H24" s="82">
        <f>'Allocator Data'!I181</f>
        <v>0.46737163780432778</v>
      </c>
      <c r="I24" s="82">
        <f>'Allocator Data'!J181</f>
        <v>0.32636968190533577</v>
      </c>
      <c r="J24" s="82">
        <f>'Allocator Data'!K181</f>
        <v>0.20544410715799694</v>
      </c>
      <c r="K24" s="82">
        <f>'Allocator Data'!L181</f>
        <v>8.1457313233947192E-4</v>
      </c>
      <c r="M24" s="83">
        <f t="shared" si="1"/>
        <v>0</v>
      </c>
    </row>
    <row r="26" spans="1:13" ht="22.5">
      <c r="B26" s="84" t="str">
        <f>'Target Revenue'!B15</f>
        <v>Target Revenue Components</v>
      </c>
      <c r="C26" s="84" t="str">
        <f>'Target Revenue'!G15</f>
        <v>Cost type</v>
      </c>
      <c r="D26" s="84" t="str">
        <f>'Target Revenue'!D15</f>
        <v>Pricing Area Allocators</v>
      </c>
      <c r="E26" s="85" t="str">
        <f>'Target Revenue'!J15</f>
        <v>Scaled target revenue</v>
      </c>
      <c r="F26" s="80"/>
      <c r="G26" s="80"/>
      <c r="H26" s="80" t="str">
        <f>H3</f>
        <v>Dunedin</v>
      </c>
      <c r="I26" s="80" t="str">
        <f t="shared" ref="I26:K26" si="2">I3</f>
        <v>Central Otago</v>
      </c>
      <c r="J26" s="80" t="str">
        <f t="shared" si="2"/>
        <v>Queenstown</v>
      </c>
      <c r="K26" s="80" t="str">
        <f t="shared" si="2"/>
        <v>Te Anau</v>
      </c>
    </row>
    <row r="30" spans="1:13" ht="12" customHeight="1">
      <c r="B30" s="70" t="str">
        <f>'Target Revenue'!B17</f>
        <v>Service interruptions and emergencies</v>
      </c>
      <c r="C30" s="86" t="str">
        <f>IF('Target Revenue'!F17='Name labels'!$B$62,'Target Revenue'!G17,'Name labels'!$C$64)</f>
        <v>Operational costs</v>
      </c>
      <c r="D30" s="86" t="str">
        <f>'Target Revenue'!D17</f>
        <v>Total Circuit Length</v>
      </c>
      <c r="E30" s="87">
        <f ca="1">'Target Revenue'!J17</f>
        <v>2002.5516797593034</v>
      </c>
      <c r="H30" s="87">
        <f ca="1">IFERROR((INDEX(H$14:H$24,MATCH($D30,$B$14:$B$24,0))*$E30),0)</f>
        <v>774.56267697880537</v>
      </c>
      <c r="I30" s="87">
        <f ca="1">IFERROR((INDEX(I$14:I$24,MATCH($D30,$B$14:$B$24,0))*$E30),0)</f>
        <v>898.40169499346121</v>
      </c>
      <c r="J30" s="87">
        <f t="shared" ref="H30:K54" ca="1" si="3">IFERROR((INDEX(J$14:J$24,MATCH($D30,$B$14:$B$24,0))*$E30),0)</f>
        <v>327.63708703090049</v>
      </c>
      <c r="K30" s="87">
        <f t="shared" ca="1" si="3"/>
        <v>1.9502207561363123</v>
      </c>
    </row>
    <row r="31" spans="1:13" ht="12" customHeight="1">
      <c r="B31" s="70" t="str">
        <f>'Target Revenue'!B18</f>
        <v>Service interruptions and emergencies</v>
      </c>
      <c r="C31" s="86" t="str">
        <f>IF('Target Revenue'!F18='Name labels'!$B$62,'Target Revenue'!G18,'Name labels'!$C$64)</f>
        <v>Operational costs</v>
      </c>
      <c r="D31" s="86" t="str">
        <f>'Target Revenue'!D18</f>
        <v>ICP Count</v>
      </c>
      <c r="E31" s="87">
        <f ca="1">'Target Revenue'!J18</f>
        <v>2002.5516797593034</v>
      </c>
      <c r="H31" s="87">
        <f ca="1">IFERROR((INDEX(H$14:H$24,MATCH($D31,$B$14:$B$24,0))*$E31),0)</f>
        <v>1223.3637515649782</v>
      </c>
      <c r="I31" s="87">
        <f t="shared" ca="1" si="3"/>
        <v>469.61950233093853</v>
      </c>
      <c r="J31" s="87">
        <f t="shared" ca="1" si="3"/>
        <v>306.55564797439865</v>
      </c>
      <c r="K31" s="87">
        <f t="shared" ca="1" si="3"/>
        <v>3.0127778889879924</v>
      </c>
    </row>
    <row r="32" spans="1:13" ht="12" customHeight="1">
      <c r="B32" s="70" t="str">
        <f>'Target Revenue'!B19</f>
        <v>Vegetation management</v>
      </c>
      <c r="C32" s="86" t="str">
        <f>IF('Target Revenue'!F19='Name labels'!$B$62,'Target Revenue'!G19,'Name labels'!$C$64)</f>
        <v>Operational costs</v>
      </c>
      <c r="D32" s="86" t="str">
        <f>'Target Revenue'!D19</f>
        <v>Overhead Circuit Length</v>
      </c>
      <c r="E32" s="87">
        <f ca="1">'Target Revenue'!J19</f>
        <v>4373.7345651380692</v>
      </c>
      <c r="H32" s="87">
        <f ca="1">IFERROR((INDEX(H$14:H$24,MATCH($D32,$B$14:$B$24,0))*$E32),0)</f>
        <v>1920.7285920440613</v>
      </c>
      <c r="I32" s="87">
        <f t="shared" ca="1" si="3"/>
        <v>1985.2813808096935</v>
      </c>
      <c r="J32" s="87">
        <f t="shared" ca="1" si="3"/>
        <v>467.7245922843145</v>
      </c>
      <c r="K32" s="87">
        <f t="shared" ca="1" si="3"/>
        <v>0</v>
      </c>
    </row>
    <row r="33" spans="2:11" ht="12" customHeight="1">
      <c r="B33" s="70" t="str">
        <f>'Target Revenue'!B20</f>
        <v>Routine and corrective maintenance and inspection</v>
      </c>
      <c r="C33" s="86" t="str">
        <f>IF('Target Revenue'!F20='Name labels'!$B$62,'Target Revenue'!G20,'Name labels'!$C$64)</f>
        <v>Operational costs</v>
      </c>
      <c r="D33" s="86" t="str">
        <f>'Target Revenue'!D20</f>
        <v>Total Circuit Length</v>
      </c>
      <c r="E33" s="87">
        <f ca="1">'Target Revenue'!J20</f>
        <v>8419.1347417915422</v>
      </c>
      <c r="H33" s="87">
        <f t="shared" ca="1" si="3"/>
        <v>3256.4191023679996</v>
      </c>
      <c r="I33" s="87">
        <f t="shared" ca="1" si="3"/>
        <v>3777.0635329186534</v>
      </c>
      <c r="J33" s="87">
        <f t="shared" ca="1" si="3"/>
        <v>1377.4529816143279</v>
      </c>
      <c r="K33" s="87">
        <f t="shared" ca="1" si="3"/>
        <v>8.1991248905614764</v>
      </c>
    </row>
    <row r="34" spans="2:11" ht="12" customHeight="1">
      <c r="B34" s="70" t="str">
        <f>'Target Revenue'!B21</f>
        <v>System operations and network support</v>
      </c>
      <c r="C34" s="86" t="str">
        <f>IF('Target Revenue'!F21='Name labels'!$B$62,'Target Revenue'!G21,'Name labels'!$C$64)</f>
        <v>Operational costs</v>
      </c>
      <c r="D34" s="86" t="str">
        <f>'Target Revenue'!D21</f>
        <v>ICP Count</v>
      </c>
      <c r="E34" s="87">
        <f ca="1">'Target Revenue'!J21</f>
        <v>13322.139394872902</v>
      </c>
      <c r="H34" s="87">
        <f t="shared" ca="1" si="3"/>
        <v>8138.5277562186147</v>
      </c>
      <c r="I34" s="87">
        <f t="shared" ca="1" si="3"/>
        <v>3124.1822799577303</v>
      </c>
      <c r="J34" s="87">
        <f t="shared" ca="1" si="3"/>
        <v>2039.3866065376146</v>
      </c>
      <c r="K34" s="87">
        <f t="shared" ca="1" si="3"/>
        <v>20.042752158942122</v>
      </c>
    </row>
    <row r="35" spans="2:11" ht="12" customHeight="1">
      <c r="B35" s="70" t="str">
        <f>'Target Revenue'!B22</f>
        <v>Business support</v>
      </c>
      <c r="C35" s="86" t="str">
        <f>IF('Target Revenue'!F22='Name labels'!$B$62,'Target Revenue'!G22,'Name labels'!$C$64)</f>
        <v>Operational costs</v>
      </c>
      <c r="D35" s="86" t="str">
        <f>'Target Revenue'!D22</f>
        <v>ICP Count</v>
      </c>
      <c r="E35" s="87">
        <f ca="1">'Target Revenue'!J22</f>
        <v>13231.875356639843</v>
      </c>
      <c r="H35" s="87">
        <f t="shared" ca="1" si="3"/>
        <v>8083.3852330266682</v>
      </c>
      <c r="I35" s="87">
        <f t="shared" ca="1" si="3"/>
        <v>3103.0144104131673</v>
      </c>
      <c r="J35" s="87">
        <f t="shared" ca="1" si="3"/>
        <v>2025.5687605319388</v>
      </c>
      <c r="K35" s="87">
        <f t="shared" ca="1" si="3"/>
        <v>19.906952668068552</v>
      </c>
    </row>
    <row r="36" spans="2:11" ht="12" customHeight="1">
      <c r="B36" s="70" t="str">
        <f>'Target Revenue'!B23</f>
        <v>Depreciation</v>
      </c>
      <c r="C36" s="86" t="str">
        <f>IF('Target Revenue'!F23='Name labels'!$B$62,'Target Revenue'!G23,'Name labels'!$C$64)</f>
        <v>Capital related costs</v>
      </c>
      <c r="D36" s="86" t="str">
        <f>'Target Revenue'!D23</f>
        <v>Regulated Asset Base (Depreciation)</v>
      </c>
      <c r="E36" s="87">
        <f ca="1">'Target Revenue'!J23</f>
        <v>16798.156571385476</v>
      </c>
      <c r="H36" s="87">
        <f t="shared" ca="1" si="3"/>
        <v>7850.9819488619614</v>
      </c>
      <c r="I36" s="87">
        <f t="shared" ca="1" si="3"/>
        <v>5482.4090167991035</v>
      </c>
      <c r="J36" s="87">
        <f t="shared" ca="1" si="3"/>
        <v>3451.0822787085281</v>
      </c>
      <c r="K36" s="87">
        <f t="shared" ca="1" si="3"/>
        <v>13.683327015882352</v>
      </c>
    </row>
    <row r="37" spans="2:11" ht="12" customHeight="1">
      <c r="B37" s="70" t="str">
        <f>'Target Revenue'!B24</f>
        <v>Asset revaluations and other regulatory revenue</v>
      </c>
      <c r="C37" s="86" t="str">
        <f>IF('Target Revenue'!F24='Name labels'!$B$62,'Target Revenue'!G24,'Name labels'!$C$64)</f>
        <v>Capital related costs</v>
      </c>
      <c r="D37" s="86" t="str">
        <f>'Target Revenue'!D24</f>
        <v>Regulated Asset Base</v>
      </c>
      <c r="E37" s="87">
        <f ca="1">'Target Revenue'!J24</f>
        <v>-10399.929884968686</v>
      </c>
      <c r="H37" s="87">
        <f t="shared" ca="1" si="3"/>
        <v>-4877.5580026604202</v>
      </c>
      <c r="I37" s="87">
        <f t="shared" ca="1" si="3"/>
        <v>-3465.3905994899083</v>
      </c>
      <c r="J37" s="87">
        <f t="shared" ca="1" si="3"/>
        <v>-2047.5705880222717</v>
      </c>
      <c r="K37" s="87">
        <f t="shared" ca="1" si="3"/>
        <v>-9.4106947960871707</v>
      </c>
    </row>
    <row r="38" spans="2:11" ht="12" customHeight="1">
      <c r="B38" s="70" t="str">
        <f>'Target Revenue'!B25</f>
        <v>Tax</v>
      </c>
      <c r="C38" s="86" t="str">
        <f>IF('Target Revenue'!F25='Name labels'!$B$62,'Target Revenue'!G25,'Name labels'!$C$64)</f>
        <v>Capital related costs</v>
      </c>
      <c r="D38" s="86" t="str">
        <f>'Target Revenue'!D25</f>
        <v>Regulated Asset Base</v>
      </c>
      <c r="E38" s="87">
        <f ca="1">'Target Revenue'!J25</f>
        <v>4727.9013561898855</v>
      </c>
      <c r="H38" s="87">
        <f t="shared" ca="1" si="3"/>
        <v>2217.3815930243136</v>
      </c>
      <c r="I38" s="87">
        <f t="shared" ca="1" si="3"/>
        <v>1575.3976321259929</v>
      </c>
      <c r="J38" s="87">
        <f t="shared" ca="1" si="3"/>
        <v>930.843944822823</v>
      </c>
      <c r="K38" s="87">
        <f t="shared" ca="1" si="3"/>
        <v>4.2781862167567493</v>
      </c>
    </row>
    <row r="39" spans="2:11" ht="12" customHeight="1">
      <c r="B39" s="70" t="str">
        <f>'Target Revenue'!B26</f>
        <v>Return on capital</v>
      </c>
      <c r="C39" s="86" t="str">
        <f>IF('Target Revenue'!F26='Name labels'!$B$62,'Target Revenue'!G26,'Name labels'!$C$64)</f>
        <v>Capital related costs</v>
      </c>
      <c r="D39" s="86" t="str">
        <f>'Target Revenue'!D26</f>
        <v>Regulated Asset Base</v>
      </c>
      <c r="E39" s="87">
        <f ca="1">'Target Revenue'!J26</f>
        <v>28453.85760418505</v>
      </c>
      <c r="H39" s="87">
        <f ca="1">IFERROR((INDEX(H$14:H$24,MATCH($D39,$B$14:$B$24,0))*$E39),0)</f>
        <v>13344.834282435233</v>
      </c>
      <c r="I39" s="87">
        <f ca="1">IFERROR((INDEX(I$14:I$24,MATCH($D39,$B$14:$B$24,0))*$E39),0)</f>
        <v>9481.1918687338548</v>
      </c>
      <c r="J39" s="87">
        <f ca="1">IFERROR((INDEX(J$14:J$24,MATCH($D39,$B$14:$B$24,0))*$E39),0)</f>
        <v>5602.0841092698001</v>
      </c>
      <c r="K39" s="87">
        <f ca="1">IFERROR((INDEX(K$14:K$24,MATCH($D39,$B$14:$B$24,0))*$E39),0)</f>
        <v>25.74734374616564</v>
      </c>
    </row>
    <row r="40" spans="2:11" ht="12" customHeight="1">
      <c r="B40" s="70" t="str">
        <f>'Target Revenue'!B27</f>
        <v>Local Authority rates</v>
      </c>
      <c r="C40" s="86" t="str">
        <f>IF('Target Revenue'!F27='Name labels'!$B$62,'Target Revenue'!G27,'Name labels'!$C$64)</f>
        <v>Passthrough and recoverable costs</v>
      </c>
      <c r="D40" s="86" t="str">
        <f>'Target Revenue'!D27</f>
        <v>Regulated Asset Base</v>
      </c>
      <c r="E40" s="87">
        <f>'Target Revenue'!J27</f>
        <v>1135.098</v>
      </c>
      <c r="H40" s="87">
        <f t="shared" si="3"/>
        <v>532.35996732111698</v>
      </c>
      <c r="I40" s="87">
        <f t="shared" si="3"/>
        <v>378.22927483242734</v>
      </c>
      <c r="J40" s="87">
        <f t="shared" si="3"/>
        <v>223.48162968695848</v>
      </c>
      <c r="K40" s="87">
        <f t="shared" si="3"/>
        <v>1.0271281594973098</v>
      </c>
    </row>
    <row r="41" spans="2:11" ht="12" customHeight="1">
      <c r="B41" s="70" t="str">
        <f>'Target Revenue'!B28</f>
        <v>Commerce Act levies</v>
      </c>
      <c r="C41" s="86" t="str">
        <f>IF('Target Revenue'!F28='Name labels'!$B$62,'Target Revenue'!G28,'Name labels'!$C$64)</f>
        <v>Passthrough and recoverable costs</v>
      </c>
      <c r="D41" s="86" t="str">
        <f>'Target Revenue'!D28</f>
        <v>Regulated Asset Base</v>
      </c>
      <c r="E41" s="87">
        <f>'Target Revenue'!J28</f>
        <v>284.44299999999998</v>
      </c>
      <c r="H41" s="87">
        <f t="shared" si="3"/>
        <v>133.40351774447711</v>
      </c>
      <c r="I41" s="87">
        <f t="shared" si="3"/>
        <v>94.780071519076003</v>
      </c>
      <c r="J41" s="87">
        <f t="shared" si="3"/>
        <v>56.002023783891374</v>
      </c>
      <c r="K41" s="87">
        <f t="shared" si="3"/>
        <v>0.25738695255554439</v>
      </c>
    </row>
    <row r="42" spans="2:11" ht="12" customHeight="1">
      <c r="B42" s="70" t="str">
        <f>'Target Revenue'!B29</f>
        <v>Electricity Authority levies</v>
      </c>
      <c r="C42" s="86" t="str">
        <f>IF('Target Revenue'!F29='Name labels'!$B$62,'Target Revenue'!G29,'Name labels'!$C$64)</f>
        <v>Passthrough and recoverable costs</v>
      </c>
      <c r="D42" s="86" t="str">
        <f>'Target Revenue'!D29</f>
        <v>MWh</v>
      </c>
      <c r="E42" s="87">
        <f>'Target Revenue'!J29</f>
        <v>227.0848</v>
      </c>
      <c r="H42" s="87">
        <f>IFERROR((INDEX(H$14:H$24,MATCH($D42,$B$14:$B$24,0))*$E42),0)</f>
        <v>136.84825650752245</v>
      </c>
      <c r="I42" s="87">
        <f t="shared" si="3"/>
        <v>49.844650130270416</v>
      </c>
      <c r="J42" s="87">
        <f t="shared" si="3"/>
        <v>40.249394756577345</v>
      </c>
      <c r="K42" s="87">
        <f t="shared" si="3"/>
        <v>0.14249860562977365</v>
      </c>
    </row>
    <row r="43" spans="2:11" ht="12" customHeight="1">
      <c r="B43" s="70" t="str">
        <f>'Target Revenue'!B30</f>
        <v>Electricity Authority levies</v>
      </c>
      <c r="C43" s="86" t="str">
        <f>IF('Target Revenue'!F30='Name labels'!$B$62,'Target Revenue'!G30,'Name labels'!$C$64)</f>
        <v>Passthrough and recoverable costs</v>
      </c>
      <c r="D43" s="86" t="str">
        <f>'Target Revenue'!D30</f>
        <v>ICP Count</v>
      </c>
      <c r="E43" s="87">
        <f>'Target Revenue'!J30</f>
        <v>56.771199999999993</v>
      </c>
      <c r="H43" s="87">
        <f t="shared" si="3"/>
        <v>34.681665854033511</v>
      </c>
      <c r="I43" s="87">
        <f t="shared" si="3"/>
        <v>13.313445520634291</v>
      </c>
      <c r="J43" s="87">
        <f t="shared" si="3"/>
        <v>8.690678087456897</v>
      </c>
      <c r="K43" s="87">
        <f t="shared" si="3"/>
        <v>8.5410537875293749E-2</v>
      </c>
    </row>
    <row r="44" spans="2:11" ht="12" customHeight="1">
      <c r="B44" s="70" t="str">
        <f>'Target Revenue'!B31</f>
        <v>Utilities Disputes levies</v>
      </c>
      <c r="C44" s="86" t="str">
        <f>IF('Target Revenue'!F31='Name labels'!$B$62,'Target Revenue'!G31,'Name labels'!$C$64)</f>
        <v>Passthrough and recoverable costs</v>
      </c>
      <c r="D44" s="86" t="str">
        <f>'Target Revenue'!D31</f>
        <v>ICP Count</v>
      </c>
      <c r="E44" s="87">
        <f>'Target Revenue'!J31</f>
        <v>73.180999999999997</v>
      </c>
      <c r="H44" s="87">
        <f t="shared" si="3"/>
        <v>44.706453075926291</v>
      </c>
      <c r="I44" s="87">
        <f t="shared" si="3"/>
        <v>17.161716797346863</v>
      </c>
      <c r="J44" s="87">
        <f t="shared" si="3"/>
        <v>11.2027315455404</v>
      </c>
      <c r="K44" s="87">
        <f t="shared" si="3"/>
        <v>0.11009858118644439</v>
      </c>
    </row>
    <row r="45" spans="2:11" ht="12" customHeight="1">
      <c r="B45" s="70" t="str">
        <f>'Target Revenue'!B32</f>
        <v>Opex Incentive Amount</v>
      </c>
      <c r="C45" s="86" t="str">
        <f>IF('Target Revenue'!F32='Name labels'!$B$62,'Target Revenue'!G32,'Name labels'!$C$64)</f>
        <v>Passthrough and recoverable costs</v>
      </c>
      <c r="D45" s="86" t="str">
        <f>'Target Revenue'!D32</f>
        <v>Prior year distribution revenue</v>
      </c>
      <c r="E45" s="87">
        <f ca="1">'Target Revenue'!J32</f>
        <v>10818.438439590307</v>
      </c>
      <c r="H45" s="87">
        <f t="shared" ca="1" si="3"/>
        <v>5350.528374371791</v>
      </c>
      <c r="I45" s="87">
        <f t="shared" ca="1" si="3"/>
        <v>3646.0798998012729</v>
      </c>
      <c r="J45" s="87">
        <f t="shared" ca="1" si="3"/>
        <v>1808.3815005619836</v>
      </c>
      <c r="K45" s="87">
        <f t="shared" ca="1" si="3"/>
        <v>13.448664855259572</v>
      </c>
    </row>
    <row r="46" spans="2:11" ht="12" customHeight="1">
      <c r="B46" s="70" t="str">
        <f>'Target Revenue'!B33</f>
        <v>Capex Incentive Amount</v>
      </c>
      <c r="C46" s="86" t="str">
        <f>IF('Target Revenue'!F33='Name labels'!$B$62,'Target Revenue'!G33,'Name labels'!$C$64)</f>
        <v>Passthrough and recoverable costs</v>
      </c>
      <c r="D46" s="86" t="str">
        <f>'Target Revenue'!D33</f>
        <v>Regulated Asset Base</v>
      </c>
      <c r="E46" s="87">
        <f ca="1">'Target Revenue'!J33</f>
        <v>-1242.3535767522603</v>
      </c>
      <c r="H46" s="87">
        <f t="shared" ca="1" si="3"/>
        <v>-582.66273883057329</v>
      </c>
      <c r="I46" s="87">
        <f t="shared" ca="1" si="3"/>
        <v>-413.96821456868025</v>
      </c>
      <c r="J46" s="87">
        <f t="shared" ca="1" si="3"/>
        <v>-244.59844170284592</v>
      </c>
      <c r="K46" s="87">
        <f t="shared" ca="1" si="3"/>
        <v>-1.1241816501609985</v>
      </c>
    </row>
    <row r="47" spans="2:11" ht="12" customHeight="1">
      <c r="B47" s="70" t="str">
        <f>'Target Revenue'!C34</f>
        <v>Transpower  - connection costs</v>
      </c>
      <c r="C47" s="86" t="str">
        <f>IF('Target Revenue'!F34='Name labels'!$B$62,'Target Revenue'!G34,'Name labels'!$C$64)</f>
        <v>Passthrough and recoverable costs</v>
      </c>
      <c r="D47" s="86" t="str">
        <f>'Target Revenue'!D34</f>
        <v>Transpower connection and interconnection</v>
      </c>
      <c r="E47" s="87">
        <f>'Target Revenue'!J34</f>
        <v>4440.1390000000001</v>
      </c>
      <c r="H47" s="87">
        <f t="shared" si="3"/>
        <v>2569.1622218920365</v>
      </c>
      <c r="I47" s="87">
        <f t="shared" si="3"/>
        <v>702.35276988225758</v>
      </c>
      <c r="J47" s="87">
        <f t="shared" si="3"/>
        <v>1168.6240082257061</v>
      </c>
      <c r="K47" s="87">
        <f t="shared" si="3"/>
        <v>0</v>
      </c>
    </row>
    <row r="48" spans="2:11" ht="12" customHeight="1">
      <c r="B48" s="70" t="str">
        <f>'Target Revenue'!C35</f>
        <v>Transpower - interconnection costs</v>
      </c>
      <c r="C48" s="86" t="str">
        <f>IF('Target Revenue'!F35='Name labels'!$B$62,'Target Revenue'!G35,'Name labels'!$C$64)</f>
        <v>Passthrough and recoverable costs</v>
      </c>
      <c r="D48" s="86" t="str">
        <f>'Target Revenue'!D35</f>
        <v>Transpower connection and interconnection</v>
      </c>
      <c r="E48" s="87">
        <f>'Target Revenue'!J35</f>
        <v>18220.165000000001</v>
      </c>
      <c r="H48" s="87">
        <f t="shared" si="3"/>
        <v>10542.588778107964</v>
      </c>
      <c r="I48" s="87">
        <f t="shared" si="3"/>
        <v>2882.1132301177427</v>
      </c>
      <c r="J48" s="87">
        <f t="shared" si="3"/>
        <v>4795.4629917742941</v>
      </c>
      <c r="K48" s="87">
        <f t="shared" si="3"/>
        <v>0</v>
      </c>
    </row>
    <row r="49" spans="2:11" ht="12" customHeight="1">
      <c r="B49" s="70" t="str">
        <f>'Target Revenue'!C36</f>
        <v>Transpower - new investment contract</v>
      </c>
      <c r="C49" s="86" t="str">
        <f>IF('Target Revenue'!F36='Name labels'!$B$62,'Target Revenue'!G36,'Name labels'!$C$64)</f>
        <v>Passthrough and recoverable costs</v>
      </c>
      <c r="D49" s="86" t="str">
        <f>'Target Revenue'!D36</f>
        <v>Transpower new investment contract</v>
      </c>
      <c r="E49" s="87">
        <f>'Target Revenue'!J36</f>
        <v>520.48299999999995</v>
      </c>
      <c r="H49" s="87">
        <f t="shared" si="3"/>
        <v>45.279086994362913</v>
      </c>
      <c r="I49" s="87">
        <f t="shared" si="3"/>
        <v>475.20391300563705</v>
      </c>
      <c r="J49" s="87">
        <f t="shared" si="3"/>
        <v>0</v>
      </c>
      <c r="K49" s="87">
        <f t="shared" si="3"/>
        <v>0</v>
      </c>
    </row>
    <row r="50" spans="2:11" ht="12" customHeight="1">
      <c r="B50" s="70" t="str">
        <f>'Target Revenue'!C37</f>
        <v>Distributed Generation Allowance</v>
      </c>
      <c r="C50" s="86" t="str">
        <f>IF('Target Revenue'!F37='Name labels'!$B$62,'Target Revenue'!G37,'Name labels'!$C$64)</f>
        <v>Passthrough and recoverable costs</v>
      </c>
      <c r="D50" s="86" t="str">
        <f>'Target Revenue'!D37</f>
        <v>Distributed Generation Allowance</v>
      </c>
      <c r="E50" s="87">
        <f>'Target Revenue'!J37</f>
        <v>4954.6000000000004</v>
      </c>
      <c r="H50" s="87">
        <f t="shared" si="3"/>
        <v>4481.1639999999998</v>
      </c>
      <c r="I50" s="87">
        <f t="shared" si="3"/>
        <v>309.95600000000002</v>
      </c>
      <c r="J50" s="87">
        <f t="shared" si="3"/>
        <v>163.48000000000002</v>
      </c>
      <c r="K50" s="87">
        <f t="shared" si="3"/>
        <v>0</v>
      </c>
    </row>
    <row r="51" spans="2:11" ht="12" customHeight="1">
      <c r="B51" s="70" t="str">
        <f>'Target Revenue'!B38</f>
        <v>CPP recoverable costs</v>
      </c>
      <c r="C51" s="86" t="str">
        <f>IF('Target Revenue'!F38='Name labels'!$B$62,'Target Revenue'!G38,'Name labels'!$C$64)</f>
        <v>Passthrough and recoverable costs</v>
      </c>
      <c r="D51" s="86" t="str">
        <f>'Target Revenue'!D38</f>
        <v>ICP Count</v>
      </c>
      <c r="E51" s="87">
        <f ca="1">'Target Revenue'!J38</f>
        <v>0</v>
      </c>
      <c r="H51" s="87">
        <f t="shared" ca="1" si="3"/>
        <v>0</v>
      </c>
      <c r="I51" s="87">
        <f t="shared" ca="1" si="3"/>
        <v>0</v>
      </c>
      <c r="J51" s="87">
        <f t="shared" ca="1" si="3"/>
        <v>0</v>
      </c>
      <c r="K51" s="87">
        <f t="shared" ca="1" si="3"/>
        <v>0</v>
      </c>
    </row>
    <row r="52" spans="2:11" ht="12" customHeight="1">
      <c r="B52" s="70" t="str">
        <f>'Target Revenue'!B39</f>
        <v>Quality Incentive Adjustments</v>
      </c>
      <c r="C52" s="86" t="str">
        <f>IF('Target Revenue'!F39='Name labels'!$B$62,'Target Revenue'!G39,'Name labels'!$C$64)</f>
        <v>Passthrough and recoverable costs</v>
      </c>
      <c r="D52" s="86" t="str">
        <f>'Target Revenue'!D39</f>
        <v>ICP Count</v>
      </c>
      <c r="E52" s="87">
        <f ca="1">'Target Revenue'!J39</f>
        <v>-9.7894012756748001</v>
      </c>
      <c r="H52" s="87">
        <f t="shared" ca="1" si="3"/>
        <v>-5.9803693413914596</v>
      </c>
      <c r="I52" s="87">
        <f t="shared" ca="1" si="3"/>
        <v>-2.2957179091392166</v>
      </c>
      <c r="J52" s="87">
        <f t="shared" ca="1" si="3"/>
        <v>-1.4985861696745812</v>
      </c>
      <c r="K52" s="87">
        <f t="shared" ca="1" si="3"/>
        <v>-1.4727855469542153E-2</v>
      </c>
    </row>
    <row r="53" spans="2:11" ht="12" customHeight="1">
      <c r="B53" s="70" t="str">
        <f>'Target Revenue'!B40</f>
        <v>Capex Wash-up Adjustment</v>
      </c>
      <c r="C53" s="86" t="str">
        <f>IF('Target Revenue'!F40='Name labels'!$B$62,'Target Revenue'!G40,'Name labels'!$C$64)</f>
        <v>Passthrough and recoverable costs</v>
      </c>
      <c r="D53" s="86" t="str">
        <f>'Target Revenue'!D40</f>
        <v>Regulated Asset Base</v>
      </c>
      <c r="E53" s="87">
        <f ca="1">'Target Revenue'!J40</f>
        <v>-653.21452631505224</v>
      </c>
      <c r="H53" s="87">
        <f t="shared" ca="1" si="3"/>
        <v>-306.35704043418286</v>
      </c>
      <c r="I53" s="87">
        <f t="shared" ca="1" si="3"/>
        <v>-217.65949424468172</v>
      </c>
      <c r="J53" s="87">
        <f t="shared" ca="1" si="3"/>
        <v>-128.60691048357279</v>
      </c>
      <c r="K53" s="87">
        <f t="shared" ca="1" si="3"/>
        <v>-0.59108115261491667</v>
      </c>
    </row>
    <row r="54" spans="2:11" ht="12" customHeight="1">
      <c r="B54" s="70" t="str">
        <f>'Target Revenue'!B41</f>
        <v>Fire and Emergency Management New Zealand (FENZ) levies</v>
      </c>
      <c r="C54" s="86" t="str">
        <f>IF('Target Revenue'!F41='Name labels'!$B$62,'Target Revenue'!G41,'Name labels'!$C$64)</f>
        <v>Passthrough and recoverable costs</v>
      </c>
      <c r="D54" s="86" t="str">
        <f>'Target Revenue'!D41</f>
        <v>Regulated Asset Base</v>
      </c>
      <c r="E54" s="87">
        <f>'Target Revenue'!J41</f>
        <v>35.545999999999999</v>
      </c>
      <c r="H54" s="87">
        <f t="shared" si="3"/>
        <v>16.67104285127489</v>
      </c>
      <c r="I54" s="87">
        <f t="shared" si="3"/>
        <v>11.844385069124836</v>
      </c>
      <c r="J54" s="87">
        <f t="shared" si="3"/>
        <v>6.9984071937864627</v>
      </c>
      <c r="K54" s="87">
        <f t="shared" si="3"/>
        <v>3.2164885813816407E-2</v>
      </c>
    </row>
    <row r="55" spans="2:11" ht="12" customHeight="1">
      <c r="B55" s="88" t="s">
        <v>7</v>
      </c>
      <c r="C55" s="88"/>
      <c r="D55" s="89"/>
      <c r="E55" s="90">
        <f ca="1">SUM(E30:E54)</f>
        <v>121792.565</v>
      </c>
      <c r="H55" s="88">
        <f ca="1">SUM(H30:H54)</f>
        <v>64925.020149976575</v>
      </c>
      <c r="I55" s="88">
        <f ca="1">SUM(I30:I54)</f>
        <v>34378.126649545971</v>
      </c>
      <c r="J55" s="88">
        <f ca="1">SUM(J30:J54)</f>
        <v>22388.634848012476</v>
      </c>
      <c r="K55" s="88">
        <f ca="1">SUM(K30:K54)</f>
        <v>100.78335246498632</v>
      </c>
    </row>
    <row r="56" spans="2:11" ht="12" customHeight="1">
      <c r="E56" s="83">
        <f ca="1">IF(E55='Target Revenue'!I44,0,1)</f>
        <v>0</v>
      </c>
      <c r="H56" s="91">
        <f ca="1">H55/$E$55</f>
        <v>0.53307868300480066</v>
      </c>
      <c r="I56" s="91">
        <f ca="1">I55/$E$55</f>
        <v>0.28226785969690327</v>
      </c>
      <c r="J56" s="91">
        <f t="shared" ref="J56" ca="1" si="4">J55/$E$55</f>
        <v>0.18382595725783815</v>
      </c>
      <c r="K56" s="91">
        <f ca="1">K55/$E$55</f>
        <v>8.2750004045802235E-4</v>
      </c>
    </row>
    <row r="57" spans="2:11" ht="12" customHeight="1">
      <c r="B57" s="72" t="s">
        <v>199</v>
      </c>
    </row>
    <row r="58" spans="2:11" ht="12" customHeight="1">
      <c r="B58" s="83">
        <f ca="1">IF(SUM(M14:M24,E56)&gt;0.0001,1,0)</f>
        <v>0</v>
      </c>
      <c r="C58" s="92"/>
    </row>
    <row r="60" spans="2:11" ht="12" customHeight="1">
      <c r="E60" s="93"/>
    </row>
    <row r="61" spans="2:11" ht="12" customHeight="1">
      <c r="E61" s="93"/>
    </row>
  </sheetData>
  <sheetProtection algorithmName="SHA-512" hashValue="yxdg+v8FpSqVwjRr59fGIsD5E9YqndPRaCuuCk58FolDM5VxghcRb8dAxeSiUzV9wnuGQb3kKro2uQMXhaoJzA==" saltValue="RNHH+8Bw+9JnusaPZ1plNA==" spinCount="100000" sheet="1" objects="1" scenarios="1"/>
  <conditionalFormatting sqref="M14:M24">
    <cfRule type="cellIs" dxfId="53" priority="11" stopIfTrue="1" operator="equal">
      <formula>0</formula>
    </cfRule>
    <cfRule type="cellIs" dxfId="52" priority="12" stopIfTrue="1" operator="notEqual">
      <formula>0</formula>
    </cfRule>
  </conditionalFormatting>
  <conditionalFormatting sqref="B58:C58">
    <cfRule type="cellIs" dxfId="51" priority="9" stopIfTrue="1" operator="equal">
      <formula>0</formula>
    </cfRule>
    <cfRule type="cellIs" dxfId="50" priority="10" stopIfTrue="1" operator="notEqual">
      <formula>0</formula>
    </cfRule>
  </conditionalFormatting>
  <conditionalFormatting sqref="E56">
    <cfRule type="cellIs" dxfId="49" priority="5" stopIfTrue="1" operator="equal">
      <formula>0</formula>
    </cfRule>
    <cfRule type="cellIs" dxfId="48" priority="6" stopIfTrue="1" operator="notEqual">
      <formula>0</formula>
    </cfRule>
  </conditionalFormatting>
  <pageMargins left="0.70866141732283472" right="0.70866141732283472" top="0.74803149606299213" bottom="0.74803149606299213" header="0.31496062992125984" footer="0.31496062992125984"/>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B2:L125"/>
  <sheetViews>
    <sheetView showGridLines="0" workbookViewId="0">
      <selection activeCell="B10" sqref="B10"/>
    </sheetView>
  </sheetViews>
  <sheetFormatPr defaultColWidth="9.140625" defaultRowHeight="12" customHeight="1"/>
  <cols>
    <col min="1" max="1" width="2.7109375" style="70" customWidth="1"/>
    <col min="2" max="2" width="40.7109375" style="70" customWidth="1"/>
    <col min="3" max="3" width="11.7109375" style="100" customWidth="1"/>
    <col min="4" max="5" width="14.42578125" style="70" customWidth="1"/>
    <col min="6" max="6" width="22.7109375" style="70" customWidth="1"/>
    <col min="7" max="8" width="2.7109375" style="70" customWidth="1"/>
    <col min="9" max="11" width="13.140625" style="70" customWidth="1"/>
    <col min="12" max="12" width="22.7109375" style="70" customWidth="1"/>
    <col min="13" max="13" width="2.7109375" style="70" customWidth="1"/>
    <col min="14" max="37" width="9.140625" style="70" customWidth="1"/>
    <col min="38" max="16384" width="9.140625" style="70"/>
  </cols>
  <sheetData>
    <row r="2" spans="2:12" ht="15" customHeight="1">
      <c r="B2" s="71" t="str">
        <f ca="1">MID(CELL("filename",A1),FIND("]",CELL("filename",A1))+1,255)</f>
        <v>RAB Allocations</v>
      </c>
    </row>
    <row r="3" spans="2:12" ht="12" customHeight="1">
      <c r="B3" s="72" t="str">
        <f>'Name labels'!B8</f>
        <v>Pricing Area Name</v>
      </c>
      <c r="C3" s="96"/>
      <c r="D3" s="73"/>
      <c r="E3" s="73"/>
      <c r="F3" s="73"/>
      <c r="G3" s="73"/>
      <c r="H3" s="73"/>
      <c r="I3" s="196" t="str">
        <f>'Name labels'!B10</f>
        <v>Dunedin</v>
      </c>
      <c r="J3" s="74" t="str">
        <f>'Name labels'!B11</f>
        <v>Central Otago</v>
      </c>
      <c r="K3" s="74" t="str">
        <f>'Name labels'!B12</f>
        <v>Queenstown</v>
      </c>
      <c r="L3" s="74" t="str">
        <f>'Name labels'!B13</f>
        <v>Te Anau</v>
      </c>
    </row>
    <row r="4" spans="2:12" ht="12" customHeight="1">
      <c r="B4" s="72"/>
      <c r="C4" s="96"/>
      <c r="D4" s="73"/>
      <c r="E4" s="73"/>
      <c r="F4" s="73"/>
      <c r="G4" s="73"/>
      <c r="H4" s="73"/>
      <c r="I4" s="76">
        <v>1</v>
      </c>
      <c r="J4" s="76">
        <v>2</v>
      </c>
      <c r="K4" s="76">
        <v>3</v>
      </c>
      <c r="L4" s="76">
        <v>4</v>
      </c>
    </row>
    <row r="7" spans="2:12" ht="12" customHeight="1">
      <c r="B7" s="72" t="s">
        <v>60</v>
      </c>
      <c r="C7" s="77"/>
      <c r="D7" s="77"/>
      <c r="E7" s="75"/>
      <c r="F7" s="75"/>
      <c r="G7" s="75"/>
      <c r="H7" s="75"/>
      <c r="I7" s="75"/>
      <c r="J7" s="75"/>
      <c r="K7" s="75"/>
      <c r="L7" s="75"/>
    </row>
    <row r="9" spans="2:12" ht="12" customHeight="1">
      <c r="B9" s="78" t="s">
        <v>243</v>
      </c>
    </row>
    <row r="10" spans="2:12" ht="12" customHeight="1">
      <c r="B10" s="70" t="s">
        <v>242</v>
      </c>
    </row>
    <row r="12" spans="2:12" ht="12" customHeight="1">
      <c r="B12" s="72" t="s">
        <v>203</v>
      </c>
      <c r="C12" s="77" t="s">
        <v>178</v>
      </c>
      <c r="D12" s="77"/>
      <c r="E12" s="75"/>
      <c r="F12" s="77" t="s">
        <v>7</v>
      </c>
      <c r="G12" s="75"/>
      <c r="H12" s="75"/>
      <c r="I12" s="75"/>
      <c r="J12" s="75"/>
      <c r="K12" s="75"/>
      <c r="L12" s="75"/>
    </row>
    <row r="14" spans="2:12" ht="12" customHeight="1">
      <c r="B14" s="161" t="s">
        <v>198</v>
      </c>
      <c r="C14" s="112"/>
    </row>
    <row r="16" spans="2:12" s="197" customFormat="1" ht="12" customHeight="1">
      <c r="B16" s="197" t="str">
        <f>'Name labels'!C10</f>
        <v>Load group Streetlighting</v>
      </c>
      <c r="C16" s="198" t="s">
        <v>186</v>
      </c>
      <c r="F16" s="199">
        <f t="shared" ref="F16:F21" si="0">SUM(I16:L16)</f>
        <v>1881839.2541990152</v>
      </c>
      <c r="I16" s="199">
        <f>I50</f>
        <v>633689.61018284899</v>
      </c>
      <c r="J16" s="199">
        <f t="shared" ref="J16:K16" si="1">J50</f>
        <v>553271.74989529641</v>
      </c>
      <c r="K16" s="199">
        <f t="shared" si="1"/>
        <v>344293.786149939</v>
      </c>
      <c r="L16" s="199">
        <f>L50</f>
        <v>350584.10797093087</v>
      </c>
    </row>
    <row r="17" spans="2:12" s="197" customFormat="1" ht="12" customHeight="1">
      <c r="B17" s="197" t="str">
        <f>'Name labels'!C11</f>
        <v>Load group 1 (incl residential)</v>
      </c>
      <c r="C17" s="198" t="s">
        <v>186</v>
      </c>
      <c r="F17" s="199">
        <f t="shared" si="0"/>
        <v>248319712.77578771</v>
      </c>
      <c r="I17" s="199">
        <f>I65</f>
        <v>125597942.5550651</v>
      </c>
      <c r="J17" s="199">
        <f t="shared" ref="J17:L17" si="2">J65</f>
        <v>77871540.959393516</v>
      </c>
      <c r="K17" s="199">
        <f>K65</f>
        <v>44715527.895081587</v>
      </c>
      <c r="L17" s="199">
        <f t="shared" si="2"/>
        <v>134701.36624754881</v>
      </c>
    </row>
    <row r="18" spans="2:12" s="197" customFormat="1" ht="12" customHeight="1">
      <c r="B18" s="197" t="str">
        <f>'Name labels'!C12</f>
        <v>Load group 2</v>
      </c>
      <c r="C18" s="198" t="s">
        <v>186</v>
      </c>
      <c r="F18" s="199">
        <f t="shared" si="0"/>
        <v>62711221.677821383</v>
      </c>
      <c r="I18" s="199">
        <f>I80</f>
        <v>28733404.236445677</v>
      </c>
      <c r="J18" s="199">
        <f t="shared" ref="J18:L18" si="3">J80</f>
        <v>18976726.239901293</v>
      </c>
      <c r="K18" s="199">
        <f t="shared" si="3"/>
        <v>14997992.675692894</v>
      </c>
      <c r="L18" s="199">
        <f t="shared" si="3"/>
        <v>3098.5257815203595</v>
      </c>
    </row>
    <row r="19" spans="2:12" s="197" customFormat="1" ht="12" customHeight="1">
      <c r="B19" s="197" t="str">
        <f>'Name labels'!C13</f>
        <v>Load group 3</v>
      </c>
      <c r="C19" s="198" t="s">
        <v>186</v>
      </c>
      <c r="F19" s="199">
        <f t="shared" si="0"/>
        <v>96465999.774833739</v>
      </c>
      <c r="I19" s="199">
        <f>I95</f>
        <v>39551217.432071961</v>
      </c>
      <c r="J19" s="199">
        <f t="shared" ref="J19:L19" si="4">J95</f>
        <v>39243537.333742745</v>
      </c>
      <c r="K19" s="199">
        <f t="shared" si="4"/>
        <v>17671245.009019036</v>
      </c>
      <c r="L19" s="199">
        <f t="shared" si="4"/>
        <v>0</v>
      </c>
    </row>
    <row r="20" spans="2:12" s="197" customFormat="1" ht="12" customHeight="1">
      <c r="B20" s="197" t="str">
        <f>'Name labels'!C14</f>
        <v>Load group 4</v>
      </c>
      <c r="C20" s="198" t="s">
        <v>186</v>
      </c>
      <c r="F20" s="199">
        <f t="shared" si="0"/>
        <v>110459069.60194531</v>
      </c>
      <c r="I20" s="199">
        <f>I110</f>
        <v>41900176.237924196</v>
      </c>
      <c r="J20" s="199">
        <f t="shared" ref="J20:L20" si="5">J110</f>
        <v>42317543.468460172</v>
      </c>
      <c r="K20" s="199">
        <f t="shared" si="5"/>
        <v>26241349.895560957</v>
      </c>
      <c r="L20" s="199">
        <f t="shared" si="5"/>
        <v>0</v>
      </c>
    </row>
    <row r="21" spans="2:12" s="197" customFormat="1" ht="12" customHeight="1">
      <c r="B21" s="197" t="str">
        <f>'Name labels'!C15</f>
        <v>Load group 5</v>
      </c>
      <c r="C21" s="198" t="s">
        <v>186</v>
      </c>
      <c r="F21" s="199">
        <f t="shared" si="0"/>
        <v>19884193.066493407</v>
      </c>
      <c r="I21" s="199">
        <f>I125</f>
        <v>16712731.928310201</v>
      </c>
      <c r="J21" s="199">
        <f t="shared" ref="J21:L21" si="6">J125</f>
        <v>879714.87037913816</v>
      </c>
      <c r="K21" s="199">
        <f t="shared" si="6"/>
        <v>2291746.2678040657</v>
      </c>
      <c r="L21" s="199">
        <f t="shared" si="6"/>
        <v>0</v>
      </c>
    </row>
    <row r="22" spans="2:12" s="200" customFormat="1" ht="12" customHeight="1">
      <c r="B22" s="200" t="s">
        <v>7</v>
      </c>
      <c r="C22" s="112"/>
      <c r="F22" s="201">
        <f>SUM(F16:F21)</f>
        <v>539722036.15108061</v>
      </c>
      <c r="I22" s="201">
        <f>SUM(I16:I21)</f>
        <v>253129161.99999994</v>
      </c>
      <c r="J22" s="201">
        <f>SUM(J16:J21)</f>
        <v>179842334.62177217</v>
      </c>
      <c r="K22" s="201">
        <f>SUM(K16:K21)</f>
        <v>106262155.52930848</v>
      </c>
      <c r="L22" s="201">
        <f>SUM(L16:L21)</f>
        <v>488384.00000000006</v>
      </c>
    </row>
    <row r="23" spans="2:12" s="197" customFormat="1" ht="12" customHeight="1">
      <c r="B23" s="197" t="s">
        <v>199</v>
      </c>
      <c r="C23" s="83">
        <f>IF(F22='Allocator Data'!D162,0,1)</f>
        <v>0</v>
      </c>
    </row>
    <row r="24" spans="2:12" s="197" customFormat="1" ht="12" customHeight="1">
      <c r="B24" s="202"/>
      <c r="C24" s="100"/>
      <c r="F24" s="203"/>
    </row>
    <row r="25" spans="2:12" s="197" customFormat="1" ht="12" customHeight="1">
      <c r="B25" s="161" t="s">
        <v>204</v>
      </c>
      <c r="C25" s="100"/>
    </row>
    <row r="26" spans="2:12" s="197" customFormat="1" ht="12" customHeight="1">
      <c r="C26" s="198"/>
      <c r="I26" s="204"/>
      <c r="J26" s="204"/>
      <c r="K26" s="204"/>
      <c r="L26" s="204"/>
    </row>
    <row r="27" spans="2:12" s="197" customFormat="1" ht="12" customHeight="1">
      <c r="B27" s="197" t="str">
        <f>'Name labels'!C10 &amp; " " &amp;$C$14</f>
        <v xml:space="preserve">Load group Streetlighting </v>
      </c>
      <c r="C27" s="198" t="s">
        <v>186</v>
      </c>
      <c r="F27" s="82">
        <f>F16/F$22</f>
        <v>3.4866822700421393E-3</v>
      </c>
      <c r="I27" s="82">
        <f t="shared" ref="I27:L32" si="7">IF(I$22&gt;0,I16/I$22,0)</f>
        <v>2.503423964177028E-3</v>
      </c>
      <c r="J27" s="82">
        <f t="shared" si="7"/>
        <v>3.0764266436981401E-3</v>
      </c>
      <c r="K27" s="82">
        <f t="shared" si="7"/>
        <v>3.2400414280602309E-3</v>
      </c>
      <c r="L27" s="82">
        <f t="shared" si="7"/>
        <v>0.71784519552428172</v>
      </c>
    </row>
    <row r="28" spans="2:12" s="197" customFormat="1" ht="12" customHeight="1">
      <c r="B28" s="197" t="str">
        <f>'Name labels'!C11 &amp; " " &amp;$C$14</f>
        <v xml:space="preserve">Load group 1 (incl residential) </v>
      </c>
      <c r="C28" s="198" t="s">
        <v>186</v>
      </c>
      <c r="F28" s="82">
        <f t="shared" ref="F28:F33" si="8">F17/F$22</f>
        <v>0.46008814934930192</v>
      </c>
      <c r="I28" s="82">
        <f t="shared" si="7"/>
        <v>0.49618124424188281</v>
      </c>
      <c r="J28" s="82">
        <f t="shared" si="7"/>
        <v>0.43299894389808591</v>
      </c>
      <c r="K28" s="82">
        <f t="shared" si="7"/>
        <v>0.42080388518703127</v>
      </c>
      <c r="L28" s="82">
        <f t="shared" si="7"/>
        <v>0.27581035874956755</v>
      </c>
    </row>
    <row r="29" spans="2:12" s="197" customFormat="1" ht="12" customHeight="1">
      <c r="B29" s="197" t="str">
        <f>'Name labels'!C12 &amp; " " &amp;$C$14</f>
        <v xml:space="preserve">Load group 2 </v>
      </c>
      <c r="C29" s="198" t="s">
        <v>186</v>
      </c>
      <c r="F29" s="82">
        <f t="shared" si="8"/>
        <v>0.11619170142659706</v>
      </c>
      <c r="I29" s="82">
        <f t="shared" si="7"/>
        <v>0.11351281697225263</v>
      </c>
      <c r="J29" s="82">
        <f t="shared" si="7"/>
        <v>0.10551868268286994</v>
      </c>
      <c r="K29" s="82">
        <f t="shared" si="7"/>
        <v>0.14114143084135208</v>
      </c>
      <c r="L29" s="82">
        <f t="shared" si="7"/>
        <v>6.3444457261506498E-3</v>
      </c>
    </row>
    <row r="30" spans="2:12" s="197" customFormat="1" ht="12" customHeight="1">
      <c r="B30" s="197" t="str">
        <f>'Name labels'!C13 &amp; " " &amp;$C$14</f>
        <v xml:space="preserve">Load group 3 </v>
      </c>
      <c r="C30" s="198" t="s">
        <v>186</v>
      </c>
      <c r="F30" s="82">
        <f t="shared" si="8"/>
        <v>0.17873274262203867</v>
      </c>
      <c r="I30" s="82">
        <f t="shared" si="7"/>
        <v>0.15624915406653925</v>
      </c>
      <c r="J30" s="82">
        <f t="shared" si="7"/>
        <v>0.21821078677763017</v>
      </c>
      <c r="K30" s="82">
        <f t="shared" si="7"/>
        <v>0.16629857469948534</v>
      </c>
      <c r="L30" s="82">
        <f t="shared" si="7"/>
        <v>0</v>
      </c>
    </row>
    <row r="31" spans="2:12" s="197" customFormat="1" ht="12" customHeight="1">
      <c r="B31" s="197" t="str">
        <f>'Name labels'!C14 &amp; " " &amp;$C$14</f>
        <v xml:space="preserve">Load group 4 </v>
      </c>
      <c r="C31" s="198" t="s">
        <v>186</v>
      </c>
      <c r="F31" s="82">
        <f t="shared" si="8"/>
        <v>0.20465918047308573</v>
      </c>
      <c r="I31" s="82">
        <f t="shared" si="7"/>
        <v>0.16552883874329818</v>
      </c>
      <c r="J31" s="82">
        <f t="shared" si="7"/>
        <v>0.23530357052725395</v>
      </c>
      <c r="K31" s="82">
        <f t="shared" si="7"/>
        <v>0.24694915856777677</v>
      </c>
      <c r="L31" s="82">
        <f t="shared" si="7"/>
        <v>0</v>
      </c>
    </row>
    <row r="32" spans="2:12" s="197" customFormat="1" ht="12" customHeight="1">
      <c r="B32" s="197" t="str">
        <f>'Name labels'!C15 &amp; " " &amp;$C$14</f>
        <v xml:space="preserve">Load group 5 </v>
      </c>
      <c r="C32" s="198" t="s">
        <v>186</v>
      </c>
      <c r="F32" s="82">
        <f t="shared" si="8"/>
        <v>3.6841543858934386E-2</v>
      </c>
      <c r="I32" s="82">
        <f t="shared" si="7"/>
        <v>6.6024522011850231E-2</v>
      </c>
      <c r="J32" s="82">
        <f t="shared" si="7"/>
        <v>4.8915894704618544E-3</v>
      </c>
      <c r="K32" s="82">
        <f t="shared" si="7"/>
        <v>2.1566909276294254E-2</v>
      </c>
      <c r="L32" s="82">
        <f t="shared" si="7"/>
        <v>0</v>
      </c>
    </row>
    <row r="33" spans="2:12" s="197" customFormat="1" ht="12" customHeight="1">
      <c r="C33" s="198"/>
      <c r="F33" s="167">
        <f t="shared" si="8"/>
        <v>1</v>
      </c>
      <c r="I33" s="167">
        <f>SUM(I27:I32)</f>
        <v>1.0000000000000002</v>
      </c>
      <c r="J33" s="167">
        <f t="shared" ref="J33:L33" si="9">SUM(J27:J32)</f>
        <v>0.99999999999999989</v>
      </c>
      <c r="K33" s="167">
        <f t="shared" si="9"/>
        <v>1</v>
      </c>
      <c r="L33" s="167">
        <f t="shared" si="9"/>
        <v>0.99999999999999989</v>
      </c>
    </row>
    <row r="34" spans="2:12" s="197" customFormat="1" ht="12" customHeight="1">
      <c r="B34" s="200"/>
      <c r="C34" s="200"/>
      <c r="D34" s="200"/>
      <c r="E34" s="200"/>
      <c r="F34" s="200"/>
      <c r="G34" s="200"/>
      <c r="H34" s="200"/>
    </row>
    <row r="35" spans="2:12" s="197" customFormat="1" ht="12" customHeight="1"/>
    <row r="36" spans="2:12" s="197" customFormat="1" ht="12" customHeight="1">
      <c r="C36" s="198"/>
      <c r="I36" s="204"/>
    </row>
    <row r="37" spans="2:12" ht="12" customHeight="1">
      <c r="B37" s="160" t="str">
        <f>B16</f>
        <v>Load group Streetlighting</v>
      </c>
      <c r="C37" s="77" t="s">
        <v>205</v>
      </c>
      <c r="D37" s="77"/>
      <c r="E37" s="77"/>
      <c r="F37" s="77" t="s">
        <v>7</v>
      </c>
      <c r="G37" s="75"/>
      <c r="H37" s="75"/>
      <c r="I37" s="75" t="str">
        <f>I3</f>
        <v>Dunedin</v>
      </c>
      <c r="J37" s="75" t="str">
        <f>J3</f>
        <v>Central Otago</v>
      </c>
      <c r="K37" s="75" t="str">
        <f>K3</f>
        <v>Queenstown</v>
      </c>
      <c r="L37" s="75" t="str">
        <f>L3</f>
        <v>Te Anau</v>
      </c>
    </row>
    <row r="39" spans="2:12" ht="12" customHeight="1">
      <c r="B39" s="161" t="s">
        <v>141</v>
      </c>
    </row>
    <row r="40" spans="2:12" ht="12" customHeight="1">
      <c r="B40" s="70" t="str">
        <f>'Asset Mapping'!B12</f>
        <v>33KV Lines</v>
      </c>
      <c r="C40" s="100" t="str">
        <f>'Asset Mapping'!D12</f>
        <v>HV - CPD</v>
      </c>
      <c r="F40" s="87">
        <f>SUM(I40:L40)</f>
        <v>0</v>
      </c>
      <c r="I40" s="205" cm="1">
        <f t="array" ref="I40">INDEX('Asset Mapping'!$G$110:$G$112,MATCH($C40,'Asset Mapping'!$B$110:$B$112,0),0)*'Allocator Data'!I152</f>
        <v>0</v>
      </c>
      <c r="J40" s="205" cm="1">
        <f t="array" ref="J40">INDEX('Asset Mapping'!$H$110:$H$112,MATCH($C40,'Asset Mapping'!$B$110:$B$112,0),0)*'Allocator Data'!J152</f>
        <v>0</v>
      </c>
      <c r="K40" s="205" cm="1">
        <f t="array" ref="K40">INDEX('Asset Mapping'!$I$110:$I$112,MATCH($C40,'Asset Mapping'!$B$110:$B$112,0),0)*'Allocator Data'!K152</f>
        <v>0</v>
      </c>
      <c r="L40" s="205" cm="1">
        <f t="array" ref="L40">INDEX('Asset Mapping'!$J$110:$J$112,MATCH($C40,'Asset Mapping'!$B$110:$B$112,0),0)*'Allocator Data'!L152</f>
        <v>0</v>
      </c>
    </row>
    <row r="41" spans="2:12" ht="12" customHeight="1">
      <c r="B41" s="70" t="str">
        <f>'Asset Mapping'!B13</f>
        <v>33KV Cables</v>
      </c>
      <c r="C41" s="100" t="str">
        <f>'Asset Mapping'!D13</f>
        <v>HV - CPD</v>
      </c>
      <c r="F41" s="87">
        <f t="shared" ref="F41:F48" si="10">SUM(I41:L41)</f>
        <v>0</v>
      </c>
      <c r="I41" s="205" cm="1">
        <f t="array" ref="I41">INDEX('Asset Mapping'!$G$110:$G$112,MATCH($C41,'Asset Mapping'!$B$110:$B$112,0),0)*'Allocator Data'!I153</f>
        <v>0</v>
      </c>
      <c r="J41" s="205" cm="1">
        <f t="array" ref="J41">INDEX('Asset Mapping'!$H$110:$H$112,MATCH($C41,'Asset Mapping'!$B$110:$B$112,0),0)*'Allocator Data'!J153</f>
        <v>0</v>
      </c>
      <c r="K41" s="205" cm="1">
        <f t="array" ref="K41">INDEX('Asset Mapping'!$I$110:$I$112,MATCH($C41,'Asset Mapping'!$B$110:$B$112,0),0)*'Allocator Data'!K153</f>
        <v>0</v>
      </c>
      <c r="L41" s="205" cm="1">
        <f t="array" ref="L41">INDEX('Asset Mapping'!$J$110:$J$112,MATCH($C41,'Asset Mapping'!$B$110:$B$112,0),0)*'Allocator Data'!L153</f>
        <v>0</v>
      </c>
    </row>
    <row r="42" spans="2:12" ht="12" customHeight="1">
      <c r="B42" s="70" t="str">
        <f>'Asset Mapping'!B14</f>
        <v>Zone Subs</v>
      </c>
      <c r="C42" s="100" t="str">
        <f>'Asset Mapping'!D14</f>
        <v>LV - CPD</v>
      </c>
      <c r="F42" s="87">
        <f t="shared" si="10"/>
        <v>463352.81335181289</v>
      </c>
      <c r="I42" s="205" cm="1">
        <f t="array" ref="I42">INDEX('Asset Mapping'!$G$110:$G$112,MATCH($C42,'Asset Mapping'!$B$110:$B$112,0),0)*'Allocator Data'!I154</f>
        <v>166210.1640704266</v>
      </c>
      <c r="J42" s="205" cm="1">
        <f t="array" ref="J42">INDEX('Asset Mapping'!$H$110:$H$112,MATCH($C42,'Asset Mapping'!$B$110:$B$112,0),0)*'Allocator Data'!J154</f>
        <v>203508.17481465221</v>
      </c>
      <c r="K42" s="205" cm="1">
        <f t="array" ref="K42">INDEX('Asset Mapping'!$I$110:$I$112,MATCH($C42,'Asset Mapping'!$B$110:$B$112,0),0)*'Allocator Data'!K154</f>
        <v>93634.4744667341</v>
      </c>
      <c r="L42" s="205" cm="1">
        <f t="array" ref="L42">INDEX('Asset Mapping'!$J$110:$J$112,MATCH($C42,'Asset Mapping'!$B$110:$B$112,0),0)*'Allocator Data'!L154</f>
        <v>0</v>
      </c>
    </row>
    <row r="43" spans="2:12" ht="12" customHeight="1">
      <c r="B43" s="70" t="str">
        <f>'Asset Mapping'!B15</f>
        <v>HV lines</v>
      </c>
      <c r="C43" s="100" t="str">
        <f>'Asset Mapping'!D15</f>
        <v>HV - CPD</v>
      </c>
      <c r="F43" s="87">
        <f t="shared" si="10"/>
        <v>0</v>
      </c>
      <c r="I43" s="205" cm="1">
        <f t="array" ref="I43">INDEX('Asset Mapping'!$G$110:$G$112,MATCH($C43,'Asset Mapping'!$B$110:$B$112,0),0)*'Allocator Data'!I155</f>
        <v>0</v>
      </c>
      <c r="J43" s="205" cm="1">
        <f t="array" ref="J43">INDEX('Asset Mapping'!$H$110:$H$112,MATCH($C43,'Asset Mapping'!$B$110:$B$112,0),0)*'Allocator Data'!J155</f>
        <v>0</v>
      </c>
      <c r="K43" s="205" cm="1">
        <f t="array" ref="K43">INDEX('Asset Mapping'!$I$110:$I$112,MATCH($C43,'Asset Mapping'!$B$110:$B$112,0),0)*'Allocator Data'!K155</f>
        <v>0</v>
      </c>
      <c r="L43" s="205" cm="1">
        <f t="array" ref="L43">INDEX('Asset Mapping'!$J$110:$J$112,MATCH($C43,'Asset Mapping'!$B$110:$B$112,0),0)*'Allocator Data'!L155</f>
        <v>0</v>
      </c>
    </row>
    <row r="44" spans="2:12" ht="12" customHeight="1">
      <c r="B44" s="70" t="str">
        <f>'Asset Mapping'!B16</f>
        <v>LV lines</v>
      </c>
      <c r="C44" s="100" t="str">
        <f>'Asset Mapping'!D16</f>
        <v>LV - CPD</v>
      </c>
      <c r="F44" s="87">
        <f t="shared" si="10"/>
        <v>266000.97682962229</v>
      </c>
      <c r="I44" s="205" cm="1">
        <f t="array" ref="I44">INDEX('Asset Mapping'!$G$110:$G$112,MATCH($C44,'Asset Mapping'!$B$110:$B$112,0),0)*'Allocator Data'!I156</f>
        <v>222341.42284874347</v>
      </c>
      <c r="J44" s="205" cm="1">
        <f t="array" ref="J44">INDEX('Asset Mapping'!$H$110:$H$112,MATCH($C44,'Asset Mapping'!$B$110:$B$112,0),0)*'Allocator Data'!J156</f>
        <v>30986.828976693167</v>
      </c>
      <c r="K44" s="205" cm="1">
        <f t="array" ref="K44">INDEX('Asset Mapping'!$I$110:$I$112,MATCH($C44,'Asset Mapping'!$B$110:$B$112,0),0)*'Allocator Data'!K156</f>
        <v>12672.725004185659</v>
      </c>
      <c r="L44" s="205" cm="1">
        <f t="array" ref="L44">INDEX('Asset Mapping'!$J$110:$J$112,MATCH($C44,'Asset Mapping'!$B$110:$B$112,0),0)*'Allocator Data'!L156</f>
        <v>0</v>
      </c>
    </row>
    <row r="45" spans="2:12" ht="12" customHeight="1">
      <c r="B45" s="70" t="str">
        <f>'Asset Mapping'!B17</f>
        <v>HV cables</v>
      </c>
      <c r="C45" s="100" t="str">
        <f>'Asset Mapping'!D17</f>
        <v>HV - CPD</v>
      </c>
      <c r="F45" s="87">
        <f t="shared" si="10"/>
        <v>0</v>
      </c>
      <c r="I45" s="205" cm="1">
        <f t="array" ref="I45">INDEX('Asset Mapping'!$G$110:$G$112,MATCH($C45,'Asset Mapping'!$B$110:$B$112,0),0)*'Allocator Data'!I157</f>
        <v>0</v>
      </c>
      <c r="J45" s="205" cm="1">
        <f t="array" ref="J45">INDEX('Asset Mapping'!$H$110:$H$112,MATCH($C45,'Asset Mapping'!$B$110:$B$112,0),0)*'Allocator Data'!J157</f>
        <v>0</v>
      </c>
      <c r="K45" s="205" cm="1">
        <f t="array" ref="K45">INDEX('Asset Mapping'!$I$110:$I$112,MATCH($C45,'Asset Mapping'!$B$110:$B$112,0),0)*'Allocator Data'!K157</f>
        <v>0</v>
      </c>
      <c r="L45" s="205" cm="1">
        <f t="array" ref="L45">INDEX('Asset Mapping'!$J$110:$J$112,MATCH($C45,'Asset Mapping'!$B$110:$B$112,0),0)*'Allocator Data'!L157</f>
        <v>0</v>
      </c>
    </row>
    <row r="46" spans="2:12" ht="12" customHeight="1">
      <c r="B46" s="70" t="str">
        <f>'Asset Mapping'!B18</f>
        <v>LV cables</v>
      </c>
      <c r="C46" s="100" t="str">
        <f>'Asset Mapping'!D18</f>
        <v>LV - CPD</v>
      </c>
      <c r="F46" s="87">
        <f>SUM(I46:L46)</f>
        <v>612054.26824436337</v>
      </c>
      <c r="I46" s="205" cm="1">
        <f t="array" ref="I46">INDEX('Asset Mapping'!$G$110:$G$112,MATCH($C46,'Asset Mapping'!$B$110:$B$112,0),0)*'Allocator Data'!I158</f>
        <v>62178.604846336719</v>
      </c>
      <c r="J46" s="205" cm="1">
        <f t="array" ref="J46">INDEX('Asset Mapping'!$H$110:$H$112,MATCH($C46,'Asset Mapping'!$B$110:$B$112,0),0)*'Allocator Data'!J158</f>
        <v>106543.72115382366</v>
      </c>
      <c r="K46" s="205" cm="1">
        <f t="array" ref="K46">INDEX('Asset Mapping'!$I$110:$I$112,MATCH($C46,'Asset Mapping'!$B$110:$B$112,0),0)*'Allocator Data'!K158</f>
        <v>92747.834273272194</v>
      </c>
      <c r="L46" s="205" cm="1">
        <f t="array" ref="L46">INDEX('Asset Mapping'!$J$110:$J$112,MATCH($C46,'Asset Mapping'!$B$110:$B$112,0),0)*'Allocator Data'!L158</f>
        <v>350584.10797093087</v>
      </c>
    </row>
    <row r="47" spans="2:12" ht="12" customHeight="1">
      <c r="B47" s="70" t="str">
        <f>'Asset Mapping'!B19</f>
        <v>Dist Subs</v>
      </c>
      <c r="C47" s="100" t="str">
        <f>'Asset Mapping'!D19</f>
        <v>LV - CPD</v>
      </c>
      <c r="F47" s="87">
        <f t="shared" si="10"/>
        <v>465388.78634911944</v>
      </c>
      <c r="I47" s="205" cm="1">
        <f t="array" ref="I47">INDEX('Asset Mapping'!$G$110:$G$112,MATCH($C47,'Asset Mapping'!$B$110:$B$112,0),0)*'Allocator Data'!I159</f>
        <v>136631.84716626778</v>
      </c>
      <c r="J47" s="205" cm="1">
        <f t="array" ref="J47">INDEX('Asset Mapping'!$H$110:$H$112,MATCH($C47,'Asset Mapping'!$B$110:$B$112,0),0)*'Allocator Data'!J159</f>
        <v>199462.21930596494</v>
      </c>
      <c r="K47" s="205" cm="1">
        <f t="array" ref="K47">INDEX('Asset Mapping'!$I$110:$I$112,MATCH($C47,'Asset Mapping'!$B$110:$B$112,0),0)*'Allocator Data'!K159</f>
        <v>129294.71987688677</v>
      </c>
      <c r="L47" s="205" cm="1">
        <f t="array" ref="L47">INDEX('Asset Mapping'!$J$110:$J$112,MATCH($C47,'Asset Mapping'!$B$110:$B$112,0),0)*'Allocator Data'!L159</f>
        <v>0</v>
      </c>
    </row>
    <row r="48" spans="2:12" ht="12" customHeight="1">
      <c r="B48" s="70" t="str">
        <f>'Asset Mapping'!B20</f>
        <v>Network Posting</v>
      </c>
      <c r="C48" s="100" t="str">
        <f>'Asset Mapping'!D20</f>
        <v>Shared - CPD</v>
      </c>
      <c r="F48" s="87">
        <f t="shared" si="10"/>
        <v>75042.409424097073</v>
      </c>
      <c r="I48" s="205" cm="1">
        <f t="array" ref="I48">INDEX('Asset Mapping'!$G$110:$G$112,MATCH($C48,'Asset Mapping'!$B$110:$B$112,0),0)*'Allocator Data'!I160</f>
        <v>46327.571251074492</v>
      </c>
      <c r="J48" s="205" cm="1">
        <f t="array" ref="J48">INDEX('Asset Mapping'!$H$110:$H$112,MATCH($C48,'Asset Mapping'!$B$110:$B$112,0),0)*'Allocator Data'!J160</f>
        <v>12770.80564416235</v>
      </c>
      <c r="K48" s="205" cm="1">
        <f t="array" ref="K48">INDEX('Asset Mapping'!$I$110:$I$112,MATCH($C48,'Asset Mapping'!$B$110:$B$112,0),0)*'Allocator Data'!K160</f>
        <v>15944.03252886024</v>
      </c>
      <c r="L48" s="205" cm="1">
        <f t="array" ref="L48">INDEX('Asset Mapping'!$J$110:$J$112,MATCH($C48,'Asset Mapping'!$B$110:$B$112,0),0)*'Allocator Data'!L160</f>
        <v>0</v>
      </c>
    </row>
    <row r="49" spans="2:12" ht="12" customHeight="1">
      <c r="B49" s="70" t="str">
        <f>'Asset Mapping'!B21</f>
        <v>System Control</v>
      </c>
      <c r="C49" s="100" t="str">
        <f>'Asset Mapping'!D21</f>
        <v>HV - CPD</v>
      </c>
      <c r="F49" s="87">
        <f>SUM(I49:L49)</f>
        <v>0</v>
      </c>
      <c r="I49" s="205" cm="1">
        <f t="array" ref="I49">INDEX('Asset Mapping'!$G$110:$G$112,MATCH($C49,'Asset Mapping'!$B$110:$B$112,0),0)*'Allocator Data'!I161</f>
        <v>0</v>
      </c>
      <c r="J49" s="205" cm="1">
        <f t="array" ref="J49">INDEX('Asset Mapping'!$H$110:$H$112,MATCH($C49,'Asset Mapping'!$B$110:$B$112,0),0)*'Allocator Data'!J161</f>
        <v>0</v>
      </c>
      <c r="K49" s="205" cm="1">
        <f t="array" ref="K49">INDEX('Asset Mapping'!$I$110:$I$112,MATCH($C49,'Asset Mapping'!$B$110:$B$112,0),0)*'Allocator Data'!K161</f>
        <v>0</v>
      </c>
      <c r="L49" s="205" cm="1">
        <f t="array" ref="L49">INDEX('Asset Mapping'!$J$110:$J$112,MATCH($C49,'Asset Mapping'!$B$110:$B$112,0),0)*'Allocator Data'!L161</f>
        <v>0</v>
      </c>
    </row>
    <row r="50" spans="2:12" ht="12" customHeight="1">
      <c r="F50" s="88">
        <f>SUM(F40:F49)</f>
        <v>1881839.254199015</v>
      </c>
      <c r="I50" s="88">
        <f>SUM(I40:I49)</f>
        <v>633689.61018284899</v>
      </c>
      <c r="J50" s="88">
        <f t="shared" ref="J50:L50" si="11">SUM(J40:J49)</f>
        <v>553271.74989529641</v>
      </c>
      <c r="K50" s="88">
        <f t="shared" si="11"/>
        <v>344293.786149939</v>
      </c>
      <c r="L50" s="88">
        <f t="shared" si="11"/>
        <v>350584.10797093087</v>
      </c>
    </row>
    <row r="51" spans="2:12" ht="12" customHeight="1">
      <c r="F51" s="88"/>
      <c r="I51" s="88"/>
      <c r="J51" s="88"/>
      <c r="K51" s="88"/>
      <c r="L51" s="88"/>
    </row>
    <row r="52" spans="2:12" ht="12" customHeight="1">
      <c r="B52" s="160" t="str">
        <f>B17</f>
        <v>Load group 1 (incl residential)</v>
      </c>
      <c r="C52" s="77" t="s">
        <v>205</v>
      </c>
      <c r="D52" s="77"/>
      <c r="E52" s="77"/>
      <c r="F52" s="77" t="s">
        <v>7</v>
      </c>
      <c r="G52" s="75"/>
      <c r="H52" s="75"/>
      <c r="I52" s="75" t="str">
        <f>I37</f>
        <v>Dunedin</v>
      </c>
      <c r="J52" s="75" t="str">
        <f t="shared" ref="J52:L52" si="12">J37</f>
        <v>Central Otago</v>
      </c>
      <c r="K52" s="75" t="str">
        <f t="shared" si="12"/>
        <v>Queenstown</v>
      </c>
      <c r="L52" s="75" t="str">
        <f t="shared" si="12"/>
        <v>Te Anau</v>
      </c>
    </row>
    <row r="54" spans="2:12" ht="12" customHeight="1">
      <c r="B54" s="161" t="s">
        <v>141</v>
      </c>
    </row>
    <row r="55" spans="2:12" ht="12" customHeight="1">
      <c r="B55" s="70" t="str">
        <f t="shared" ref="B55:C64" si="13">B40</f>
        <v>33KV Lines</v>
      </c>
      <c r="C55" s="100" t="str">
        <f t="shared" si="13"/>
        <v>HV - CPD</v>
      </c>
      <c r="F55" s="87">
        <f>SUM(I55:L55)</f>
        <v>0</v>
      </c>
      <c r="I55" s="205" cm="1">
        <f t="array" ref="I55">INDEX('Asset Mapping'!$G$114:$G$116,MATCH($C55,'Asset Mapping'!$B$114:$B$116,0),0)*'Allocator Data'!I152</f>
        <v>0</v>
      </c>
      <c r="J55" s="205" cm="1">
        <f t="array" ref="J55">INDEX('Asset Mapping'!$H$114:$H$116,MATCH($C55,'Asset Mapping'!$B$114:$B$116,0),0)*'Allocator Data'!J152</f>
        <v>0</v>
      </c>
      <c r="K55" s="205" cm="1">
        <f t="array" ref="K55">INDEX('Asset Mapping'!$I$114:$I$116,MATCH($C55,'Asset Mapping'!$B$114:$B$116,0),0)*'Allocator Data'!K152</f>
        <v>0</v>
      </c>
      <c r="L55" s="205" cm="1">
        <f t="array" ref="L55">INDEX('Asset Mapping'!$J$114:$J$116,MATCH($C55,'Asset Mapping'!$B$114:$B$116,0),0)*'Allocator Data'!L152</f>
        <v>0</v>
      </c>
    </row>
    <row r="56" spans="2:12" ht="12" customHeight="1">
      <c r="B56" s="70" t="str">
        <f t="shared" si="13"/>
        <v>33KV Cables</v>
      </c>
      <c r="C56" s="100" t="str">
        <f t="shared" si="13"/>
        <v>HV - CPD</v>
      </c>
      <c r="F56" s="87">
        <f t="shared" ref="F56:F63" si="14">SUM(I56:L56)</f>
        <v>0</v>
      </c>
      <c r="I56" s="205" cm="1">
        <f t="array" ref="I56">INDEX('Asset Mapping'!$G$114:$G$116,MATCH($C56,'Asset Mapping'!$B$114:$B$116,0),0)*'Allocator Data'!I153</f>
        <v>0</v>
      </c>
      <c r="J56" s="205" cm="1">
        <f t="array" ref="J56">INDEX('Asset Mapping'!$H$114:$H$116,MATCH($C56,'Asset Mapping'!$B$114:$B$116,0),0)*'Allocator Data'!J153</f>
        <v>0</v>
      </c>
      <c r="K56" s="205" cm="1">
        <f t="array" ref="K56">INDEX('Asset Mapping'!$I$114:$I$116,MATCH($C56,'Asset Mapping'!$B$114:$B$116,0),0)*'Allocator Data'!K153</f>
        <v>0</v>
      </c>
      <c r="L56" s="205" cm="1">
        <f t="array" ref="L56">INDEX('Asset Mapping'!$J$114:$J$116,MATCH($C56,'Asset Mapping'!$B$114:$B$116,0),0)*'Allocator Data'!L153</f>
        <v>0</v>
      </c>
    </row>
    <row r="57" spans="2:12" ht="12" customHeight="1">
      <c r="B57" s="70" t="str">
        <f t="shared" si="13"/>
        <v>Zone Subs</v>
      </c>
      <c r="C57" s="100" t="str">
        <f t="shared" si="13"/>
        <v>LV - CPD</v>
      </c>
      <c r="F57" s="87">
        <f>SUM(I57:L57)</f>
        <v>73747146.134307191</v>
      </c>
      <c r="I57" s="205" cm="1">
        <f t="array" ref="I57">INDEX('Asset Mapping'!$G$114:$G$116,MATCH($C57,'Asset Mapping'!$B$114:$B$116,0),0)*'Allocator Data'!I154</f>
        <v>32943028.106397051</v>
      </c>
      <c r="J57" s="205" cm="1">
        <f t="array" ref="J57">INDEX('Asset Mapping'!$H$114:$H$116,MATCH($C57,'Asset Mapping'!$B$114:$B$116,0),0)*'Allocator Data'!J154</f>
        <v>28643239.373146482</v>
      </c>
      <c r="K57" s="205" cm="1">
        <f t="array" ref="K57">INDEX('Asset Mapping'!$I$114:$I$116,MATCH($C57,'Asset Mapping'!$B$114:$B$116,0),0)*'Allocator Data'!K154</f>
        <v>12160878.65476365</v>
      </c>
      <c r="L57" s="205" cm="1">
        <f t="array" ref="L57">INDEX('Asset Mapping'!$J$114:$J$116,MATCH($C57,'Asset Mapping'!$B$114:$B$116,0),0)*'Allocator Data'!L154</f>
        <v>0</v>
      </c>
    </row>
    <row r="58" spans="2:12" ht="12" customHeight="1">
      <c r="B58" s="70" t="str">
        <f t="shared" si="13"/>
        <v>HV lines</v>
      </c>
      <c r="C58" s="100" t="str">
        <f t="shared" si="13"/>
        <v>HV - CPD</v>
      </c>
      <c r="F58" s="87">
        <f t="shared" si="14"/>
        <v>0</v>
      </c>
      <c r="I58" s="205" cm="1">
        <f t="array" ref="I58">INDEX('Asset Mapping'!$G$114:$G$116,MATCH($C58,'Asset Mapping'!$B$114:$B$116,0),0)*'Allocator Data'!I155</f>
        <v>0</v>
      </c>
      <c r="J58" s="205" cm="1">
        <f t="array" ref="J58">INDEX('Asset Mapping'!$H$114:$H$116,MATCH($C58,'Asset Mapping'!$B$114:$B$116,0),0)*'Allocator Data'!J155</f>
        <v>0</v>
      </c>
      <c r="K58" s="205" cm="1">
        <f t="array" ref="K58">INDEX('Asset Mapping'!$I$114:$I$116,MATCH($C58,'Asset Mapping'!$B$114:$B$116,0),0)*'Allocator Data'!K155</f>
        <v>0</v>
      </c>
      <c r="L58" s="205" cm="1">
        <f t="array" ref="L58">INDEX('Asset Mapping'!$J$114:$J$116,MATCH($C58,'Asset Mapping'!$B$114:$B$116,0),0)*'Allocator Data'!L155</f>
        <v>0</v>
      </c>
    </row>
    <row r="59" spans="2:12" ht="12" customHeight="1">
      <c r="B59" s="70" t="str">
        <f t="shared" si="13"/>
        <v>LV lines</v>
      </c>
      <c r="C59" s="100" t="str">
        <f t="shared" si="13"/>
        <v>LV - CPD</v>
      </c>
      <c r="F59" s="87">
        <f t="shared" si="14"/>
        <v>50075500.616858043</v>
      </c>
      <c r="I59" s="205" cm="1">
        <f t="array" ref="I59">INDEX('Asset Mapping'!$G$114:$G$116,MATCH($C59,'Asset Mapping'!$B$114:$B$116,0),0)*'Allocator Data'!I156</f>
        <v>44068302.218983948</v>
      </c>
      <c r="J59" s="205" cm="1">
        <f t="array" ref="J59">INDEX('Asset Mapping'!$H$114:$H$116,MATCH($C59,'Asset Mapping'!$B$114:$B$116,0),0)*'Allocator Data'!J156</f>
        <v>4361314.5300061489</v>
      </c>
      <c r="K59" s="205" cm="1">
        <f t="array" ref="K59">INDEX('Asset Mapping'!$I$114:$I$116,MATCH($C59,'Asset Mapping'!$B$114:$B$116,0),0)*'Allocator Data'!K156</f>
        <v>1645883.8678679485</v>
      </c>
      <c r="L59" s="205" cm="1">
        <f t="array" ref="L59">INDEX('Asset Mapping'!$J$114:$J$116,MATCH($C59,'Asset Mapping'!$B$114:$B$116,0),0)*'Allocator Data'!L156</f>
        <v>0</v>
      </c>
    </row>
    <row r="60" spans="2:12" ht="12" customHeight="1">
      <c r="B60" s="70" t="str">
        <f t="shared" si="13"/>
        <v>HV cables</v>
      </c>
      <c r="C60" s="100" t="str">
        <f t="shared" si="13"/>
        <v>HV - CPD</v>
      </c>
      <c r="F60" s="87">
        <f t="shared" si="14"/>
        <v>0</v>
      </c>
      <c r="I60" s="205" cm="1">
        <f t="array" ref="I60">INDEX('Asset Mapping'!$G$114:$G$116,MATCH($C60,'Asset Mapping'!$B$114:$B$116,0),0)*'Allocator Data'!I157</f>
        <v>0</v>
      </c>
      <c r="J60" s="205" cm="1">
        <f t="array" ref="J60">INDEX('Asset Mapping'!$H$114:$H$116,MATCH($C60,'Asset Mapping'!$B$114:$B$116,0),0)*'Allocator Data'!J157</f>
        <v>0</v>
      </c>
      <c r="K60" s="205" cm="1">
        <f t="array" ref="K60">INDEX('Asset Mapping'!$I$114:$I$116,MATCH($C60,'Asset Mapping'!$B$114:$B$116,0),0)*'Allocator Data'!K157</f>
        <v>0</v>
      </c>
      <c r="L60" s="205" cm="1">
        <f t="array" ref="L60">INDEX('Asset Mapping'!$J$114:$J$116,MATCH($C60,'Asset Mapping'!$B$114:$B$116,0),0)*'Allocator Data'!L157</f>
        <v>0</v>
      </c>
    </row>
    <row r="61" spans="2:12" ht="12" customHeight="1">
      <c r="B61" s="70" t="str">
        <f t="shared" si="13"/>
        <v>LV cables</v>
      </c>
      <c r="C61" s="100" t="str">
        <f t="shared" si="13"/>
        <v>LV - CPD</v>
      </c>
      <c r="F61" s="87">
        <f t="shared" si="14"/>
        <v>39500039.101841658</v>
      </c>
      <c r="I61" s="205" cm="1">
        <f t="array" ref="I61">INDEX('Asset Mapping'!$G$114:$G$116,MATCH($C61,'Asset Mapping'!$B$114:$B$116,0),0)*'Allocator Data'!I158</f>
        <v>12323864.419034557</v>
      </c>
      <c r="J61" s="205" cm="1">
        <f t="array" ref="J61">INDEX('Asset Mapping'!$H$114:$H$116,MATCH($C61,'Asset Mapping'!$B$114:$B$116,0),0)*'Allocator Data'!J158</f>
        <v>14995748.015990857</v>
      </c>
      <c r="K61" s="205" cm="1">
        <f t="array" ref="K61">INDEX('Asset Mapping'!$I$114:$I$116,MATCH($C61,'Asset Mapping'!$B$114:$B$116,0),0)*'Allocator Data'!K158</f>
        <v>12045725.300568694</v>
      </c>
      <c r="L61" s="205" cm="1">
        <f t="array" ref="L61">INDEX('Asset Mapping'!$J$114:$J$116,MATCH($C61,'Asset Mapping'!$B$114:$B$116,0),0)*'Allocator Data'!L158</f>
        <v>134701.36624754881</v>
      </c>
    </row>
    <row r="62" spans="2:12" ht="12" customHeight="1">
      <c r="B62" s="70" t="str">
        <f t="shared" si="13"/>
        <v>Dist Subs</v>
      </c>
      <c r="C62" s="100" t="str">
        <f t="shared" si="13"/>
        <v>LV - CPD</v>
      </c>
      <c r="F62" s="87">
        <f t="shared" si="14"/>
        <v>71946648.201661006</v>
      </c>
      <c r="I62" s="205" cm="1">
        <f t="array" ref="I62">INDEX('Asset Mapping'!$G$114:$G$116,MATCH($C62,'Asset Mapping'!$B$114:$B$116,0),0)*'Allocator Data'!I159</f>
        <v>27080574.80480022</v>
      </c>
      <c r="J62" s="205" cm="1">
        <f t="array" ref="J62">INDEX('Asset Mapping'!$H$114:$H$116,MATCH($C62,'Asset Mapping'!$B$114:$B$116,0),0)*'Allocator Data'!J159</f>
        <v>28073781.79615245</v>
      </c>
      <c r="K62" s="205" cm="1">
        <f t="array" ref="K62">INDEX('Asset Mapping'!$I$114:$I$116,MATCH($C62,'Asset Mapping'!$B$114:$B$116,0),0)*'Allocator Data'!K159</f>
        <v>16792291.600708332</v>
      </c>
      <c r="L62" s="205" cm="1">
        <f t="array" ref="L62">INDEX('Asset Mapping'!$J$114:$J$116,MATCH($C62,'Asset Mapping'!$B$114:$B$116,0),0)*'Allocator Data'!L159</f>
        <v>0</v>
      </c>
    </row>
    <row r="63" spans="2:12" ht="12" customHeight="1">
      <c r="B63" s="70" t="str">
        <f t="shared" si="13"/>
        <v>Network Posting</v>
      </c>
      <c r="C63" s="100" t="str">
        <f t="shared" si="13"/>
        <v>Shared - CPD</v>
      </c>
      <c r="F63" s="87">
        <f t="shared" si="14"/>
        <v>13050378.721119868</v>
      </c>
      <c r="I63" s="205" cm="1">
        <f t="array" ref="I63">INDEX('Asset Mapping'!$G$114:$G$116,MATCH($C63,'Asset Mapping'!$B$114:$B$116,0),0)*'Allocator Data'!I160</f>
        <v>9182173.005849326</v>
      </c>
      <c r="J63" s="205" cm="1">
        <f t="array" ref="J63">INDEX('Asset Mapping'!$H$114:$H$116,MATCH($C63,'Asset Mapping'!$B$114:$B$116,0),0)*'Allocator Data'!J160</f>
        <v>1797457.2440975751</v>
      </c>
      <c r="K63" s="205" cm="1">
        <f t="array" ref="K63">INDEX('Asset Mapping'!$I$114:$I$116,MATCH($C63,'Asset Mapping'!$B$114:$B$116,0),0)*'Allocator Data'!K160</f>
        <v>2070748.4711729668</v>
      </c>
      <c r="L63" s="205" cm="1">
        <f t="array" ref="L63">INDEX('Asset Mapping'!$J$114:$J$116,MATCH($C63,'Asset Mapping'!$B$114:$B$116,0),0)*'Allocator Data'!L160</f>
        <v>0</v>
      </c>
    </row>
    <row r="64" spans="2:12" ht="12" customHeight="1">
      <c r="B64" s="70" t="str">
        <f t="shared" si="13"/>
        <v>System Control</v>
      </c>
      <c r="C64" s="100" t="str">
        <f t="shared" si="13"/>
        <v>HV - CPD</v>
      </c>
      <c r="E64" s="88"/>
      <c r="F64" s="87">
        <f>SUM(I64:L64)</f>
        <v>0</v>
      </c>
      <c r="I64" s="205" cm="1">
        <f t="array" ref="I64">INDEX('Asset Mapping'!$G$114:$G$116,MATCH($C64,'Asset Mapping'!$B$114:$B$116,0),0)*'Allocator Data'!I161</f>
        <v>0</v>
      </c>
      <c r="J64" s="205" cm="1">
        <f t="array" ref="J64">INDEX('Asset Mapping'!$H$114:$H$116,MATCH($C64,'Asset Mapping'!$B$114:$B$116,0),0)*'Allocator Data'!J161</f>
        <v>0</v>
      </c>
      <c r="K64" s="205" cm="1">
        <f t="array" ref="K64">INDEX('Asset Mapping'!$I$114:$I$116,MATCH($C64,'Asset Mapping'!$B$114:$B$116,0),0)*'Allocator Data'!K161</f>
        <v>0</v>
      </c>
      <c r="L64" s="205" cm="1">
        <f t="array" ref="L64">INDEX('Asset Mapping'!$J$114:$J$116,MATCH($C64,'Asset Mapping'!$B$114:$B$116,0),0)*'Allocator Data'!L161</f>
        <v>0</v>
      </c>
    </row>
    <row r="65" spans="2:12" ht="12" customHeight="1">
      <c r="F65" s="88">
        <f>SUM(F55:F64)</f>
        <v>248319712.77578777</v>
      </c>
      <c r="I65" s="88">
        <f>SUM(I55:I64)</f>
        <v>125597942.5550651</v>
      </c>
      <c r="J65" s="88">
        <f>SUM(J55:J64)</f>
        <v>77871540.959393516</v>
      </c>
      <c r="K65" s="88">
        <f>SUM(K55:K64)</f>
        <v>44715527.895081587</v>
      </c>
      <c r="L65" s="88">
        <f>SUM(L55:L64)</f>
        <v>134701.36624754881</v>
      </c>
    </row>
    <row r="67" spans="2:12" ht="12" customHeight="1">
      <c r="B67" s="160" t="str">
        <f>B18</f>
        <v>Load group 2</v>
      </c>
      <c r="C67" s="77" t="s">
        <v>205</v>
      </c>
      <c r="D67" s="77"/>
      <c r="E67" s="77"/>
      <c r="F67" s="77" t="s">
        <v>7</v>
      </c>
      <c r="G67" s="75"/>
      <c r="H67" s="75"/>
      <c r="I67" s="75" t="str">
        <f>I52</f>
        <v>Dunedin</v>
      </c>
      <c r="J67" s="75" t="str">
        <f t="shared" ref="J67:L67" si="15">J52</f>
        <v>Central Otago</v>
      </c>
      <c r="K67" s="75" t="str">
        <f t="shared" si="15"/>
        <v>Queenstown</v>
      </c>
      <c r="L67" s="75" t="str">
        <f t="shared" si="15"/>
        <v>Te Anau</v>
      </c>
    </row>
    <row r="69" spans="2:12" ht="12" customHeight="1">
      <c r="B69" s="161" t="s">
        <v>141</v>
      </c>
    </row>
    <row r="70" spans="2:12" ht="12" customHeight="1">
      <c r="B70" s="70" t="str">
        <f t="shared" ref="B70:C79" si="16">B55</f>
        <v>33KV Lines</v>
      </c>
      <c r="C70" s="100" t="str">
        <f t="shared" si="16"/>
        <v>HV - CPD</v>
      </c>
      <c r="F70" s="87">
        <f t="shared" ref="F70:F78" si="17">SUM(I70:L70)</f>
        <v>0</v>
      </c>
      <c r="I70" s="205" cm="1">
        <f t="array" ref="I70">INDEX('Asset Mapping'!$G$118:$G$120,MATCH($C70,'Asset Mapping'!$B$118:$B$120,0),0)*'Allocator Data'!I152</f>
        <v>0</v>
      </c>
      <c r="J70" s="205" cm="1">
        <f t="array" ref="J70">INDEX('Asset Mapping'!$H$118:$H$120,MATCH($C70,'Asset Mapping'!$B$118:$B$120,0),0)*'Allocator Data'!J152</f>
        <v>0</v>
      </c>
      <c r="K70" s="205" cm="1">
        <f t="array" ref="K70">INDEX('Asset Mapping'!$I$118:$I$120,MATCH($C70,'Asset Mapping'!$B$118:$B$120,0),0)*'Allocator Data'!K152</f>
        <v>0</v>
      </c>
      <c r="L70" s="205" cm="1">
        <f t="array" ref="L70">INDEX('Asset Mapping'!$J$118:$J$120,MATCH($C70,'Asset Mapping'!$B$118:$B$120,0),0)*'Allocator Data'!L152</f>
        <v>0</v>
      </c>
    </row>
    <row r="71" spans="2:12" ht="12" customHeight="1">
      <c r="B71" s="70" t="str">
        <f t="shared" si="16"/>
        <v>33KV Cables</v>
      </c>
      <c r="C71" s="100" t="str">
        <f t="shared" si="16"/>
        <v>HV - CPD</v>
      </c>
      <c r="F71" s="87">
        <f t="shared" si="17"/>
        <v>0</v>
      </c>
      <c r="I71" s="205" cm="1">
        <f t="array" ref="I71">INDEX('Asset Mapping'!$G$118:$G$120,MATCH($C71,'Asset Mapping'!$B$118:$B$120,0),0)*'Allocator Data'!I153</f>
        <v>0</v>
      </c>
      <c r="J71" s="205" cm="1">
        <f t="array" ref="J71">INDEX('Asset Mapping'!$H$118:$H$120,MATCH($C71,'Asset Mapping'!$B$118:$B$120,0),0)*'Allocator Data'!J153</f>
        <v>0</v>
      </c>
      <c r="K71" s="205" cm="1">
        <f t="array" ref="K71">INDEX('Asset Mapping'!$I$118:$I$120,MATCH($C71,'Asset Mapping'!$B$118:$B$120,0),0)*'Allocator Data'!K153</f>
        <v>0</v>
      </c>
      <c r="L71" s="205" cm="1">
        <f t="array" ref="L71">INDEX('Asset Mapping'!$J$118:$J$120,MATCH($C71,'Asset Mapping'!$B$118:$B$120,0),0)*'Allocator Data'!L153</f>
        <v>0</v>
      </c>
    </row>
    <row r="72" spans="2:12" ht="12" customHeight="1">
      <c r="B72" s="70" t="str">
        <f t="shared" si="16"/>
        <v>Zone Subs</v>
      </c>
      <c r="C72" s="100" t="str">
        <f t="shared" si="16"/>
        <v>LV - CPD</v>
      </c>
      <c r="F72" s="87">
        <f t="shared" si="17"/>
        <v>18595488.873350672</v>
      </c>
      <c r="I72" s="205" cm="1">
        <f t="array" ref="I72">INDEX('Asset Mapping'!$G$118:$G$120,MATCH($C72,'Asset Mapping'!$B$118:$B$120,0),0)*'Allocator Data'!I154</f>
        <v>7536471.7295325231</v>
      </c>
      <c r="J72" s="205" cm="1">
        <f t="array" ref="J72">INDEX('Asset Mapping'!$H$118:$H$120,MATCH($C72,'Asset Mapping'!$B$118:$B$120,0),0)*'Allocator Data'!J154</f>
        <v>6980148.402246234</v>
      </c>
      <c r="K72" s="205" cm="1">
        <f t="array" ref="K72">INDEX('Asset Mapping'!$I$118:$I$120,MATCH($C72,'Asset Mapping'!$B$118:$B$120,0),0)*'Allocator Data'!K154</f>
        <v>4078868.7415719149</v>
      </c>
      <c r="L72" s="205" cm="1">
        <f t="array" ref="L72">INDEX('Asset Mapping'!$J$118:$J$120,MATCH($C72,'Asset Mapping'!$B$118:$B$120,0),0)*'Allocator Data'!L154</f>
        <v>0</v>
      </c>
    </row>
    <row r="73" spans="2:12" ht="12" customHeight="1">
      <c r="B73" s="70" t="str">
        <f t="shared" si="16"/>
        <v>HV lines</v>
      </c>
      <c r="C73" s="100" t="str">
        <f t="shared" si="16"/>
        <v>HV - CPD</v>
      </c>
      <c r="F73" s="87">
        <f t="shared" si="17"/>
        <v>0</v>
      </c>
      <c r="I73" s="205" cm="1">
        <f t="array" ref="I73">INDEX('Asset Mapping'!$G$118:$G$120,MATCH($C73,'Asset Mapping'!$B$118:$B$120,0),0)*'Allocator Data'!I155</f>
        <v>0</v>
      </c>
      <c r="J73" s="205" cm="1">
        <f t="array" ref="J73">INDEX('Asset Mapping'!$H$118:$H$120,MATCH($C73,'Asset Mapping'!$B$118:$B$120,0),0)*'Allocator Data'!J155</f>
        <v>0</v>
      </c>
      <c r="K73" s="205" cm="1">
        <f t="array" ref="K73">INDEX('Asset Mapping'!$I$118:$I$120,MATCH($C73,'Asset Mapping'!$B$118:$B$120,0),0)*'Allocator Data'!K155</f>
        <v>0</v>
      </c>
      <c r="L73" s="205" cm="1">
        <f t="array" ref="L73">INDEX('Asset Mapping'!$J$118:$J$120,MATCH($C73,'Asset Mapping'!$B$118:$B$120,0),0)*'Allocator Data'!L155</f>
        <v>0</v>
      </c>
    </row>
    <row r="74" spans="2:12" ht="12" customHeight="1">
      <c r="B74" s="70" t="str">
        <f t="shared" si="16"/>
        <v>LV lines</v>
      </c>
      <c r="C74" s="100" t="str">
        <f t="shared" si="16"/>
        <v>LV - CPD</v>
      </c>
      <c r="F74" s="87">
        <f t="shared" si="17"/>
        <v>11696497.70038596</v>
      </c>
      <c r="I74" s="205" cm="1">
        <f t="array" ref="I74">INDEX('Asset Mapping'!$G$118:$G$120,MATCH($C74,'Asset Mapping'!$B$118:$B$120,0),0)*'Allocator Data'!I156</f>
        <v>10081632.835002657</v>
      </c>
      <c r="J74" s="205" cm="1">
        <f t="array" ref="J74">INDEX('Asset Mapping'!$H$118:$H$120,MATCH($C74,'Asset Mapping'!$B$118:$B$120,0),0)*'Allocator Data'!J156</f>
        <v>1062820.5229069227</v>
      </c>
      <c r="K74" s="205" cm="1">
        <f t="array" ref="K74">INDEX('Asset Mapping'!$I$118:$I$120,MATCH($C74,'Asset Mapping'!$B$118:$B$120,0),0)*'Allocator Data'!K156</f>
        <v>552044.34247638087</v>
      </c>
      <c r="L74" s="205" cm="1">
        <f t="array" ref="L74">INDEX('Asset Mapping'!$J$118:$J$120,MATCH($C74,'Asset Mapping'!$B$118:$B$120,0),0)*'Allocator Data'!L156</f>
        <v>0</v>
      </c>
    </row>
    <row r="75" spans="2:12" ht="12" customHeight="1">
      <c r="B75" s="70" t="str">
        <f t="shared" si="16"/>
        <v>HV cables</v>
      </c>
      <c r="C75" s="100" t="str">
        <f t="shared" si="16"/>
        <v>HV - CPD</v>
      </c>
      <c r="F75" s="87">
        <f t="shared" si="17"/>
        <v>0</v>
      </c>
      <c r="I75" s="205" cm="1">
        <f t="array" ref="I75">INDEX('Asset Mapping'!$G$118:$G$120,MATCH($C75,'Asset Mapping'!$B$118:$B$120,0),0)*'Allocator Data'!I157</f>
        <v>0</v>
      </c>
      <c r="J75" s="205" cm="1">
        <f t="array" ref="J75">INDEX('Asset Mapping'!$H$118:$H$120,MATCH($C75,'Asset Mapping'!$B$118:$B$120,0),0)*'Allocator Data'!J157</f>
        <v>0</v>
      </c>
      <c r="K75" s="205" cm="1">
        <f t="array" ref="K75">INDEX('Asset Mapping'!$I$118:$I$120,MATCH($C75,'Asset Mapping'!$B$118:$B$120,0),0)*'Allocator Data'!K157</f>
        <v>0</v>
      </c>
      <c r="L75" s="205" cm="1">
        <f t="array" ref="L75">INDEX('Asset Mapping'!$J$118:$J$120,MATCH($C75,'Asset Mapping'!$B$118:$B$120,0),0)*'Allocator Data'!L157</f>
        <v>0</v>
      </c>
    </row>
    <row r="76" spans="2:12" ht="12" customHeight="1">
      <c r="B76" s="70" t="str">
        <f t="shared" si="16"/>
        <v>LV cables</v>
      </c>
      <c r="C76" s="100" t="str">
        <f t="shared" si="16"/>
        <v>LV - CPD</v>
      </c>
      <c r="F76" s="87">
        <f t="shared" si="17"/>
        <v>10517064.218932692</v>
      </c>
      <c r="I76" s="205" cm="1">
        <f t="array" ref="I76">INDEX('Asset Mapping'!$G$118:$G$120,MATCH($C76,'Asset Mapping'!$B$118:$B$120,0),0)*'Allocator Data'!I158</f>
        <v>2819366.0732302279</v>
      </c>
      <c r="J76" s="205" cm="1">
        <f t="array" ref="J76">INDEX('Asset Mapping'!$H$118:$H$120,MATCH($C76,'Asset Mapping'!$B$118:$B$120,0),0)*'Allocator Data'!J158</f>
        <v>3654354.3553400594</v>
      </c>
      <c r="K76" s="205" cm="1">
        <f t="array" ref="K76">INDEX('Asset Mapping'!$I$118:$I$120,MATCH($C76,'Asset Mapping'!$B$118:$B$120,0),0)*'Allocator Data'!K158</f>
        <v>4040245.2645808854</v>
      </c>
      <c r="L76" s="205" cm="1">
        <f t="array" ref="L76">INDEX('Asset Mapping'!$J$118:$J$120,MATCH($C76,'Asset Mapping'!$B$118:$B$120,0),0)*'Allocator Data'!L158</f>
        <v>3098.5257815203595</v>
      </c>
    </row>
    <row r="77" spans="2:12" ht="12" customHeight="1">
      <c r="B77" s="70" t="str">
        <f t="shared" si="16"/>
        <v>Dist Subs</v>
      </c>
      <c r="C77" s="100" t="str">
        <f t="shared" si="16"/>
        <v>LV - CPD</v>
      </c>
      <c r="F77" s="87">
        <f t="shared" si="17"/>
        <v>18668963.646705691</v>
      </c>
      <c r="I77" s="205" cm="1">
        <f t="array" ref="I77">INDEX('Asset Mapping'!$G$118:$G$120,MATCH($C77,'Asset Mapping'!$B$118:$B$120,0),0)*'Allocator Data'!I159</f>
        <v>6195301.3480335139</v>
      </c>
      <c r="J77" s="205" cm="1">
        <f t="array" ref="J77">INDEX('Asset Mapping'!$H$118:$H$120,MATCH($C77,'Asset Mapping'!$B$118:$B$120,0),0)*'Allocator Data'!J159</f>
        <v>6841375.7465273961</v>
      </c>
      <c r="K77" s="205" cm="1">
        <f t="array" ref="K77">INDEX('Asset Mapping'!$I$118:$I$120,MATCH($C77,'Asset Mapping'!$B$118:$B$120,0),0)*'Allocator Data'!K159</f>
        <v>5632286.5521447817</v>
      </c>
      <c r="L77" s="205" cm="1">
        <f t="array" ref="L77">INDEX('Asset Mapping'!$J$118:$J$120,MATCH($C77,'Asset Mapping'!$B$118:$B$120,0),0)*'Allocator Data'!L159</f>
        <v>0</v>
      </c>
    </row>
    <row r="78" spans="2:12" ht="12" customHeight="1">
      <c r="B78" s="70" t="str">
        <f t="shared" si="16"/>
        <v>Network Posting</v>
      </c>
      <c r="C78" s="100" t="str">
        <f t="shared" si="16"/>
        <v>Shared - CPD</v>
      </c>
      <c r="F78" s="87">
        <f t="shared" si="17"/>
        <v>3233207.2384463716</v>
      </c>
      <c r="I78" s="205" cm="1">
        <f t="array" ref="I78">INDEX('Asset Mapping'!$G$118:$G$120,MATCH($C78,'Asset Mapping'!$B$118:$B$120,0),0)*'Allocator Data'!I160</f>
        <v>2100632.2506467546</v>
      </c>
      <c r="J78" s="205" cm="1">
        <f t="array" ref="J78">INDEX('Asset Mapping'!$H$118:$H$120,MATCH($C78,'Asset Mapping'!$B$118:$B$120,0),0)*'Allocator Data'!J160</f>
        <v>438027.21288068348</v>
      </c>
      <c r="K78" s="205" cm="1">
        <f t="array" ref="K78">INDEX('Asset Mapping'!$I$118:$I$120,MATCH($C78,'Asset Mapping'!$B$118:$B$120,0),0)*'Allocator Data'!K160</f>
        <v>694547.77491893328</v>
      </c>
      <c r="L78" s="205" cm="1">
        <f t="array" ref="L78">INDEX('Asset Mapping'!$J$118:$J$120,MATCH($C78,'Asset Mapping'!$B$118:$B$120,0),0)*'Allocator Data'!L160</f>
        <v>0</v>
      </c>
    </row>
    <row r="79" spans="2:12" ht="12" customHeight="1">
      <c r="B79" s="70" t="str">
        <f t="shared" si="16"/>
        <v>System Control</v>
      </c>
      <c r="C79" s="100" t="str">
        <f t="shared" si="16"/>
        <v>HV - CPD</v>
      </c>
      <c r="E79" s="88"/>
      <c r="F79" s="87">
        <f>SUM(I79:L79)</f>
        <v>0</v>
      </c>
      <c r="I79" s="205" cm="1">
        <f t="array" ref="I79">INDEX('Asset Mapping'!$G$118:$G$120,MATCH($C79,'Asset Mapping'!$B$118:$B$120,0),0)*'Allocator Data'!I161</f>
        <v>0</v>
      </c>
      <c r="J79" s="205" cm="1">
        <f t="array" ref="J79">INDEX('Asset Mapping'!$H$118:$H$120,MATCH($C79,'Asset Mapping'!$B$118:$B$120,0),0)*'Allocator Data'!J161</f>
        <v>0</v>
      </c>
      <c r="K79" s="205" cm="1">
        <f t="array" ref="K79">INDEX('Asset Mapping'!$I$118:$I$120,MATCH($C79,'Asset Mapping'!$B$118:$B$120,0),0)*'Allocator Data'!K161</f>
        <v>0</v>
      </c>
      <c r="L79" s="205" cm="1">
        <f t="array" ref="L79">INDEX('Asset Mapping'!$J$118:$J$120,MATCH($C79,'Asset Mapping'!$B$118:$B$120,0),0)*'Allocator Data'!L161</f>
        <v>0</v>
      </c>
    </row>
    <row r="80" spans="2:12" ht="12" customHeight="1">
      <c r="F80" s="88">
        <f>SUM(F70:F79)</f>
        <v>62711221.677821383</v>
      </c>
      <c r="I80" s="88">
        <f>SUM(I70:I79)</f>
        <v>28733404.236445677</v>
      </c>
      <c r="J80" s="88">
        <f t="shared" ref="J80" si="18">SUM(J70:J79)</f>
        <v>18976726.239901293</v>
      </c>
      <c r="K80" s="88">
        <f t="shared" ref="K80" si="19">SUM(K70:K79)</f>
        <v>14997992.675692894</v>
      </c>
      <c r="L80" s="88">
        <f t="shared" ref="L80" si="20">SUM(L70:L79)</f>
        <v>3098.5257815203595</v>
      </c>
    </row>
    <row r="81" spans="2:12" ht="12" customHeight="1">
      <c r="F81" s="88"/>
      <c r="I81" s="88"/>
      <c r="J81" s="88"/>
      <c r="K81" s="88"/>
      <c r="L81" s="88"/>
    </row>
    <row r="82" spans="2:12" ht="12" customHeight="1">
      <c r="B82" s="160" t="str">
        <f>B19</f>
        <v>Load group 3</v>
      </c>
      <c r="C82" s="77" t="s">
        <v>205</v>
      </c>
      <c r="D82" s="77"/>
      <c r="E82" s="77"/>
      <c r="F82" s="77" t="s">
        <v>7</v>
      </c>
      <c r="G82" s="75"/>
      <c r="H82" s="75"/>
      <c r="I82" s="75" t="str">
        <f>I67</f>
        <v>Dunedin</v>
      </c>
      <c r="J82" s="75" t="str">
        <f t="shared" ref="J82:L82" si="21">J67</f>
        <v>Central Otago</v>
      </c>
      <c r="K82" s="75" t="str">
        <f t="shared" si="21"/>
        <v>Queenstown</v>
      </c>
      <c r="L82" s="75" t="str">
        <f t="shared" si="21"/>
        <v>Te Anau</v>
      </c>
    </row>
    <row r="84" spans="2:12" ht="12" customHeight="1">
      <c r="B84" s="161" t="s">
        <v>141</v>
      </c>
    </row>
    <row r="85" spans="2:12" ht="12" customHeight="1">
      <c r="B85" s="70" t="str">
        <f>B70</f>
        <v>33KV Lines</v>
      </c>
      <c r="C85" s="100" t="str">
        <f>C70</f>
        <v>HV - CPD</v>
      </c>
      <c r="F85" s="87">
        <f t="shared" ref="F85:F93" si="22">SUM(I85:L85)</f>
        <v>8053913.8865735196</v>
      </c>
      <c r="I85" s="205" cm="1">
        <f t="array" ref="I85">INDEX('Asset Mapping'!$G$122:$G$124,MATCH($C85,'Asset Mapping'!$B$122:$B$124,0),0)*'Allocator Data'!I152</f>
        <v>1191027.8439607429</v>
      </c>
      <c r="J85" s="205" cm="1">
        <f t="array" ref="J85">INDEX('Asset Mapping'!$H$122:$H$124,MATCH($C85,'Asset Mapping'!$B$122:$B$124,0),0)*'Allocator Data'!J152</f>
        <v>5006331.2470695563</v>
      </c>
      <c r="K85" s="205" cm="1">
        <f t="array" ref="K85">INDEX('Asset Mapping'!$I$122:$I$124,MATCH($C85,'Asset Mapping'!$B$122:$B$124,0),0)*'Allocator Data'!K152</f>
        <v>1856554.7955432201</v>
      </c>
      <c r="L85" s="205" cm="1">
        <f t="array" ref="L85">INDEX('Asset Mapping'!$J$122:$J$124,MATCH($C85,'Asset Mapping'!$B$122:$B$124,0),0)*'Allocator Data'!L152</f>
        <v>0</v>
      </c>
    </row>
    <row r="86" spans="2:12" ht="12" customHeight="1">
      <c r="B86" s="70" t="str">
        <f t="shared" ref="B86:C86" si="23">B71</f>
        <v>33KV Cables</v>
      </c>
      <c r="C86" s="100" t="str">
        <f t="shared" si="23"/>
        <v>HV - CPD</v>
      </c>
      <c r="F86" s="87">
        <f t="shared" si="22"/>
        <v>8754834.9264557622</v>
      </c>
      <c r="I86" s="205" cm="1">
        <f t="array" ref="I86">INDEX('Asset Mapping'!$G$122:$G$124,MATCH($C86,'Asset Mapping'!$B$122:$B$124,0),0)*'Allocator Data'!I153</f>
        <v>6353482.1301753316</v>
      </c>
      <c r="J86" s="205" cm="1">
        <f t="array" ref="J86">INDEX('Asset Mapping'!$H$122:$H$124,MATCH($C86,'Asset Mapping'!$B$122:$B$124,0),0)*'Allocator Data'!J153</f>
        <v>1263610.8684209869</v>
      </c>
      <c r="K86" s="205" cm="1">
        <f t="array" ref="K86">INDEX('Asset Mapping'!$I$122:$I$124,MATCH($C86,'Asset Mapping'!$B$122:$B$124,0),0)*'Allocator Data'!K153</f>
        <v>1137741.9278594439</v>
      </c>
      <c r="L86" s="205" cm="1">
        <f t="array" ref="L86">INDEX('Asset Mapping'!$J$122:$J$124,MATCH($C86,'Asset Mapping'!$B$122:$B$124,0),0)*'Allocator Data'!L153</f>
        <v>0</v>
      </c>
    </row>
    <row r="87" spans="2:12" ht="12" customHeight="1">
      <c r="B87" s="70" t="str">
        <f t="shared" ref="B87:C87" si="24">B72</f>
        <v>Zone Subs</v>
      </c>
      <c r="C87" s="100" t="str">
        <f t="shared" si="24"/>
        <v>LV - CPD</v>
      </c>
      <c r="F87" s="87">
        <f t="shared" si="22"/>
        <v>0</v>
      </c>
      <c r="I87" s="205" cm="1">
        <f t="array" ref="I87">INDEX('Asset Mapping'!$G$122:$G$124,MATCH($C87,'Asset Mapping'!$B$122:$B$124,0),0)*'Allocator Data'!I154</f>
        <v>0</v>
      </c>
      <c r="J87" s="205" cm="1">
        <f t="array" ref="J87">INDEX('Asset Mapping'!$H$122:$H$124,MATCH($C87,'Asset Mapping'!$B$122:$B$124,0),0)*'Allocator Data'!J154</f>
        <v>0</v>
      </c>
      <c r="K87" s="205" cm="1">
        <f t="array" ref="K87">INDEX('Asset Mapping'!$I$122:$I$124,MATCH($C87,'Asset Mapping'!$B$122:$B$124,0),0)*'Allocator Data'!K154</f>
        <v>0</v>
      </c>
      <c r="L87" s="205" cm="1">
        <f t="array" ref="L87">INDEX('Asset Mapping'!$J$122:$J$124,MATCH($C87,'Asset Mapping'!$B$122:$B$124,0),0)*'Allocator Data'!L154</f>
        <v>0</v>
      </c>
    </row>
    <row r="88" spans="2:12" ht="12" customHeight="1">
      <c r="B88" s="70" t="str">
        <f t="shared" ref="B88:C88" si="25">B73</f>
        <v>HV lines</v>
      </c>
      <c r="C88" s="100" t="str">
        <f t="shared" si="25"/>
        <v>HV - CPD</v>
      </c>
      <c r="F88" s="87">
        <f t="shared" si="22"/>
        <v>35624160.979495741</v>
      </c>
      <c r="I88" s="205" cm="1">
        <f t="array" ref="I88">INDEX('Asset Mapping'!$G$122:$G$124,MATCH($C88,'Asset Mapping'!$B$122:$B$124,0),0)*'Allocator Data'!I155</f>
        <v>15713036.876558883</v>
      </c>
      <c r="J88" s="205" cm="1">
        <f t="array" ref="J88">INDEX('Asset Mapping'!$H$122:$H$124,MATCH($C88,'Asset Mapping'!$B$122:$B$124,0),0)*'Allocator Data'!J155</f>
        <v>15414240.056570724</v>
      </c>
      <c r="K88" s="205" cm="1">
        <f t="array" ref="K88">INDEX('Asset Mapping'!$I$122:$I$124,MATCH($C88,'Asset Mapping'!$B$122:$B$124,0),0)*'Allocator Data'!K155</f>
        <v>4496884.0463661319</v>
      </c>
      <c r="L88" s="205" cm="1">
        <f t="array" ref="L88">INDEX('Asset Mapping'!$J$122:$J$124,MATCH($C88,'Asset Mapping'!$B$122:$B$124,0),0)*'Allocator Data'!L155</f>
        <v>0</v>
      </c>
    </row>
    <row r="89" spans="2:12" ht="12" customHeight="1">
      <c r="B89" s="70" t="str">
        <f t="shared" ref="B89:C89" si="26">B74</f>
        <v>LV lines</v>
      </c>
      <c r="C89" s="100" t="str">
        <f t="shared" si="26"/>
        <v>LV - CPD</v>
      </c>
      <c r="F89" s="87">
        <f t="shared" si="22"/>
        <v>0</v>
      </c>
      <c r="I89" s="205" cm="1">
        <f t="array" ref="I89">INDEX('Asset Mapping'!$G$122:$G$124,MATCH($C89,'Asset Mapping'!$B$122:$B$124,0),0)*'Allocator Data'!I156</f>
        <v>0</v>
      </c>
      <c r="J89" s="205" cm="1">
        <f t="array" ref="J89">INDEX('Asset Mapping'!$H$122:$H$124,MATCH($C89,'Asset Mapping'!$B$122:$B$124,0),0)*'Allocator Data'!J156</f>
        <v>0</v>
      </c>
      <c r="K89" s="205" cm="1">
        <f t="array" ref="K89">INDEX('Asset Mapping'!$I$122:$I$124,MATCH($C89,'Asset Mapping'!$B$122:$B$124,0),0)*'Allocator Data'!K156</f>
        <v>0</v>
      </c>
      <c r="L89" s="205" cm="1">
        <f t="array" ref="L89">INDEX('Asset Mapping'!$J$122:$J$124,MATCH($C89,'Asset Mapping'!$B$122:$B$124,0),0)*'Allocator Data'!L156</f>
        <v>0</v>
      </c>
    </row>
    <row r="90" spans="2:12" ht="12" customHeight="1">
      <c r="B90" s="70" t="str">
        <f t="shared" ref="B90:C90" si="27">B75</f>
        <v>HV cables</v>
      </c>
      <c r="C90" s="100" t="str">
        <f t="shared" si="27"/>
        <v>HV - CPD</v>
      </c>
      <c r="F90" s="87">
        <f t="shared" si="22"/>
        <v>39704299.255635321</v>
      </c>
      <c r="I90" s="205" cm="1">
        <f t="array" ref="I90">INDEX('Asset Mapping'!$G$122:$G$124,MATCH($C90,'Asset Mapping'!$B$122:$B$124,0),0)*'Allocator Data'!I157</f>
        <v>13152551.041467352</v>
      </c>
      <c r="J90" s="205" cm="1">
        <f t="array" ref="J90">INDEX('Asset Mapping'!$H$122:$H$124,MATCH($C90,'Asset Mapping'!$B$122:$B$124,0),0)*'Allocator Data'!J157</f>
        <v>16802629.014093366</v>
      </c>
      <c r="K90" s="205" cm="1">
        <f t="array" ref="K90">INDEX('Asset Mapping'!$I$122:$I$124,MATCH($C90,'Asset Mapping'!$B$122:$B$124,0),0)*'Allocator Data'!K157</f>
        <v>9749119.2000746019</v>
      </c>
      <c r="L90" s="205" cm="1">
        <f t="array" ref="L90">INDEX('Asset Mapping'!$J$122:$J$124,MATCH($C90,'Asset Mapping'!$B$122:$B$124,0),0)*'Allocator Data'!L157</f>
        <v>0</v>
      </c>
    </row>
    <row r="91" spans="2:12" ht="12" customHeight="1">
      <c r="B91" s="70" t="str">
        <f t="shared" ref="B91:C91" si="28">B76</f>
        <v>LV cables</v>
      </c>
      <c r="C91" s="100" t="str">
        <f t="shared" si="28"/>
        <v>LV - CPD</v>
      </c>
      <c r="F91" s="87">
        <f t="shared" si="22"/>
        <v>0</v>
      </c>
      <c r="I91" s="205" cm="1">
        <f t="array" ref="I91">INDEX('Asset Mapping'!$G$122:$G$124,MATCH($C91,'Asset Mapping'!$B$122:$B$124,0),0)*'Allocator Data'!I158</f>
        <v>0</v>
      </c>
      <c r="J91" s="205" cm="1">
        <f t="array" ref="J91">INDEX('Asset Mapping'!$H$122:$H$124,MATCH($C91,'Asset Mapping'!$B$122:$B$124,0),0)*'Allocator Data'!J158</f>
        <v>0</v>
      </c>
      <c r="K91" s="205" cm="1">
        <f t="array" ref="K91">INDEX('Asset Mapping'!$I$122:$I$124,MATCH($C91,'Asset Mapping'!$B$122:$B$124,0),0)*'Allocator Data'!K158</f>
        <v>0</v>
      </c>
      <c r="L91" s="205" cm="1">
        <f t="array" ref="L91">INDEX('Asset Mapping'!$J$122:$J$124,MATCH($C91,'Asset Mapping'!$B$122:$B$124,0),0)*'Allocator Data'!L158</f>
        <v>0</v>
      </c>
    </row>
    <row r="92" spans="2:12" ht="12" customHeight="1">
      <c r="B92" s="70" t="str">
        <f t="shared" ref="B92:C92" si="29">B77</f>
        <v>Dist Subs</v>
      </c>
      <c r="C92" s="100" t="str">
        <f t="shared" si="29"/>
        <v>LV - CPD</v>
      </c>
      <c r="F92" s="87">
        <f t="shared" si="22"/>
        <v>0</v>
      </c>
      <c r="I92" s="205" cm="1">
        <f t="array" ref="I92">INDEX('Asset Mapping'!$G$122:$G$124,MATCH($C92,'Asset Mapping'!$B$122:$B$124,0),0)*'Allocator Data'!I159</f>
        <v>0</v>
      </c>
      <c r="J92" s="205" cm="1">
        <f t="array" ref="J92">INDEX('Asset Mapping'!$H$122:$H$124,MATCH($C92,'Asset Mapping'!$B$122:$B$124,0),0)*'Allocator Data'!J159</f>
        <v>0</v>
      </c>
      <c r="K92" s="205" cm="1">
        <f t="array" ref="K92">INDEX('Asset Mapping'!$I$122:$I$124,MATCH($C92,'Asset Mapping'!$B$122:$B$124,0),0)*'Allocator Data'!K159</f>
        <v>0</v>
      </c>
      <c r="L92" s="205" cm="1">
        <f t="array" ref="L92">INDEX('Asset Mapping'!$J$122:$J$124,MATCH($C92,'Asset Mapping'!$B$122:$B$124,0),0)*'Allocator Data'!L159</f>
        <v>0</v>
      </c>
    </row>
    <row r="93" spans="2:12" ht="12" customHeight="1">
      <c r="B93" s="70" t="str">
        <f t="shared" ref="B93:C93" si="30">B78</f>
        <v>Network Posting</v>
      </c>
      <c r="C93" s="100" t="str">
        <f t="shared" si="30"/>
        <v>Shared - CPD</v>
      </c>
      <c r="F93" s="87">
        <f t="shared" si="22"/>
        <v>1677900.0650119327</v>
      </c>
      <c r="I93" s="205" cm="1">
        <f t="array" ref="I93">INDEX('Asset Mapping'!$G$122:$G$124,MATCH($C93,'Asset Mapping'!$B$122:$B$124,0),0)*'Allocator Data'!I160</f>
        <v>1265576.5686072796</v>
      </c>
      <c r="J93" s="205" cm="1">
        <f t="array" ref="J93">INDEX('Asset Mapping'!$H$122:$H$124,MATCH($C93,'Asset Mapping'!$B$122:$B$124,0),0)*'Allocator Data'!J160</f>
        <v>184228.35468855983</v>
      </c>
      <c r="K93" s="205" cm="1">
        <f t="array" ref="K93">INDEX('Asset Mapping'!$I$122:$I$124,MATCH($C93,'Asset Mapping'!$B$122:$B$124,0),0)*'Allocator Data'!K160</f>
        <v>228095.14171609332</v>
      </c>
      <c r="L93" s="205" cm="1">
        <f t="array" ref="L93">INDEX('Asset Mapping'!$J$122:$J$124,MATCH($C93,'Asset Mapping'!$B$122:$B$124,0),0)*'Allocator Data'!L160</f>
        <v>0</v>
      </c>
    </row>
    <row r="94" spans="2:12" ht="12" customHeight="1">
      <c r="B94" s="70" t="str">
        <f t="shared" ref="B94:C94" si="31">B79</f>
        <v>System Control</v>
      </c>
      <c r="C94" s="100" t="str">
        <f t="shared" si="31"/>
        <v>HV - CPD</v>
      </c>
      <c r="E94" s="88"/>
      <c r="F94" s="87">
        <f>SUM(I94:L94)</f>
        <v>2650890.6616614712</v>
      </c>
      <c r="I94" s="205" cm="1">
        <f t="array" ref="I94">INDEX('Asset Mapping'!$G$122:$G$124,MATCH($C94,'Asset Mapping'!$B$122:$B$124,0),0)*'Allocator Data'!I161</f>
        <v>1875542.9713023773</v>
      </c>
      <c r="J94" s="205" cm="1">
        <f t="array" ref="J94">INDEX('Asset Mapping'!$H$122:$H$124,MATCH($C94,'Asset Mapping'!$B$122:$B$124,0),0)*'Allocator Data'!J161</f>
        <v>572497.79289954936</v>
      </c>
      <c r="K94" s="205" cm="1">
        <f t="array" ref="K94">INDEX('Asset Mapping'!$I$122:$I$124,MATCH($C94,'Asset Mapping'!$B$122:$B$124,0),0)*'Allocator Data'!K161</f>
        <v>202849.89745954494</v>
      </c>
      <c r="L94" s="205" cm="1">
        <f t="array" ref="L94">INDEX('Asset Mapping'!$J$122:$J$124,MATCH($C94,'Asset Mapping'!$B$122:$B$124,0),0)*'Allocator Data'!L161</f>
        <v>0</v>
      </c>
    </row>
    <row r="95" spans="2:12" ht="12" customHeight="1">
      <c r="F95" s="88">
        <f>SUM(F85:F94)</f>
        <v>96465999.774833754</v>
      </c>
      <c r="I95" s="88">
        <f>SUM(I85:I94)</f>
        <v>39551217.432071961</v>
      </c>
      <c r="J95" s="88">
        <f t="shared" ref="J95" si="32">SUM(J85:J94)</f>
        <v>39243537.333742745</v>
      </c>
      <c r="K95" s="88">
        <f t="shared" ref="K95" si="33">SUM(K85:K94)</f>
        <v>17671245.009019036</v>
      </c>
      <c r="L95" s="88">
        <f t="shared" ref="L95" si="34">SUM(L85:L94)</f>
        <v>0</v>
      </c>
    </row>
    <row r="97" spans="2:12" ht="12" customHeight="1">
      <c r="B97" s="160" t="str">
        <f>B20</f>
        <v>Load group 4</v>
      </c>
      <c r="C97" s="77" t="s">
        <v>205</v>
      </c>
      <c r="D97" s="77"/>
      <c r="E97" s="77"/>
      <c r="F97" s="77" t="s">
        <v>7</v>
      </c>
      <c r="G97" s="75"/>
      <c r="H97" s="75"/>
      <c r="I97" s="75" t="str">
        <f>I82</f>
        <v>Dunedin</v>
      </c>
      <c r="J97" s="75" t="str">
        <f t="shared" ref="J97:L97" si="35">J82</f>
        <v>Central Otago</v>
      </c>
      <c r="K97" s="75" t="str">
        <f t="shared" si="35"/>
        <v>Queenstown</v>
      </c>
      <c r="L97" s="75" t="str">
        <f t="shared" si="35"/>
        <v>Te Anau</v>
      </c>
    </row>
    <row r="99" spans="2:12" ht="12" customHeight="1">
      <c r="B99" s="161" t="s">
        <v>141</v>
      </c>
    </row>
    <row r="100" spans="2:12" ht="12" customHeight="1">
      <c r="B100" s="70" t="str">
        <f>B85</f>
        <v>33KV Lines</v>
      </c>
      <c r="C100" s="100" t="str">
        <f>C85</f>
        <v>HV - CPD</v>
      </c>
      <c r="F100" s="87">
        <f t="shared" ref="F100:F108" si="36">SUM(I100:L100)</f>
        <v>9417184.8636027426</v>
      </c>
      <c r="I100" s="205" cm="1">
        <f t="array" ref="I100">INDEX('Asset Mapping'!$G$126:$G$128,MATCH($C100,'Asset Mapping'!$B$126:$B$128,0),0)*'Allocator Data'!I152</f>
        <v>1261763.3490533915</v>
      </c>
      <c r="J100" s="205" cm="1">
        <f t="array" ref="J100">INDEX('Asset Mapping'!$H$126:$H$128,MATCH($C100,'Asset Mapping'!$B$126:$B$128,0),0)*'Allocator Data'!J152</f>
        <v>5398484.8094520951</v>
      </c>
      <c r="K100" s="205" cm="1">
        <f t="array" ref="K100">INDEX('Asset Mapping'!$I$126:$I$128,MATCH($C100,'Asset Mapping'!$B$126:$B$128,0),0)*'Allocator Data'!K152</f>
        <v>2756936.7050972558</v>
      </c>
      <c r="L100" s="205" cm="1">
        <f t="array" ref="L100">INDEX('Asset Mapping'!$J$126:$J$128,MATCH($C100,'Asset Mapping'!$B$126:$B$128,0),0)*'Allocator Data'!L152</f>
        <v>0</v>
      </c>
    </row>
    <row r="101" spans="2:12" ht="12" customHeight="1">
      <c r="B101" s="70" t="str">
        <f t="shared" ref="B101:C101" si="37">B86</f>
        <v>33KV Cables</v>
      </c>
      <c r="C101" s="100" t="str">
        <f t="shared" si="37"/>
        <v>HV - CPD</v>
      </c>
      <c r="F101" s="87">
        <f t="shared" si="36"/>
        <v>9782926.6552351844</v>
      </c>
      <c r="I101" s="205" cm="1">
        <f t="array" ref="I101">INDEX('Asset Mapping'!$G$126:$G$128,MATCH($C101,'Asset Mapping'!$B$126:$B$128,0),0)*'Allocator Data'!I153</f>
        <v>6730817.3619701993</v>
      </c>
      <c r="J101" s="205" cm="1">
        <f t="array" ref="J101">INDEX('Asset Mapping'!$H$126:$H$128,MATCH($C101,'Asset Mapping'!$B$126:$B$128,0),0)*'Allocator Data'!J153</f>
        <v>1362591.4350398339</v>
      </c>
      <c r="K101" s="205" cm="1">
        <f t="array" ref="K101">INDEX('Asset Mapping'!$I$126:$I$128,MATCH($C101,'Asset Mapping'!$B$126:$B$128,0),0)*'Allocator Data'!K153</f>
        <v>1689517.8582251517</v>
      </c>
      <c r="L101" s="205" cm="1">
        <f t="array" ref="L101">INDEX('Asset Mapping'!$J$126:$J$128,MATCH($C101,'Asset Mapping'!$B$126:$B$128,0),0)*'Allocator Data'!L153</f>
        <v>0</v>
      </c>
    </row>
    <row r="102" spans="2:12" ht="12" customHeight="1">
      <c r="B102" s="70" t="str">
        <f t="shared" ref="B102:C102" si="38">B87</f>
        <v>Zone Subs</v>
      </c>
      <c r="C102" s="100" t="str">
        <f t="shared" si="38"/>
        <v>LV - CPD</v>
      </c>
      <c r="F102" s="87">
        <f t="shared" si="36"/>
        <v>0</v>
      </c>
      <c r="I102" s="205" cm="1">
        <f t="array" ref="I102">INDEX('Asset Mapping'!$G$126:$G$128,MATCH($C102,'Asset Mapping'!$B$126:$B$128,0),0)*'Allocator Data'!I154</f>
        <v>0</v>
      </c>
      <c r="J102" s="205" cm="1">
        <f t="array" ref="J102">INDEX('Asset Mapping'!$H$126:$H$128,MATCH($C102,'Asset Mapping'!$B$126:$B$128,0),0)*'Allocator Data'!J154</f>
        <v>0</v>
      </c>
      <c r="K102" s="205" cm="1">
        <f t="array" ref="K102">INDEX('Asset Mapping'!$I$126:$I$128,MATCH($C102,'Asset Mapping'!$B$126:$B$128,0),0)*'Allocator Data'!K154</f>
        <v>0</v>
      </c>
      <c r="L102" s="205" cm="1">
        <f t="array" ref="L102">INDEX('Asset Mapping'!$J$126:$J$128,MATCH($C102,'Asset Mapping'!$B$126:$B$128,0),0)*'Allocator Data'!L154</f>
        <v>0</v>
      </c>
    </row>
    <row r="103" spans="2:12" ht="12" customHeight="1">
      <c r="B103" s="70" t="str">
        <f t="shared" ref="B103:C103" si="39">B88</f>
        <v>HV lines</v>
      </c>
      <c r="C103" s="100" t="str">
        <f t="shared" si="39"/>
        <v>HV - CPD</v>
      </c>
      <c r="F103" s="87">
        <f t="shared" si="36"/>
        <v>39945658.459795758</v>
      </c>
      <c r="I103" s="205" cm="1">
        <f t="array" ref="I103">INDEX('Asset Mapping'!$G$126:$G$128,MATCH($C103,'Asset Mapping'!$B$126:$B$128,0),0)*'Allocator Data'!I155</f>
        <v>16646238.905074552</v>
      </c>
      <c r="J103" s="205" cm="1">
        <f t="array" ref="J103">INDEX('Asset Mapping'!$H$126:$H$128,MATCH($C103,'Asset Mapping'!$B$126:$B$128,0),0)*'Allocator Data'!J155</f>
        <v>16621660.990441632</v>
      </c>
      <c r="K103" s="205" cm="1">
        <f t="array" ref="K103">INDEX('Asset Mapping'!$I$126:$I$128,MATCH($C103,'Asset Mapping'!$B$126:$B$128,0),0)*'Allocator Data'!K155</f>
        <v>6677758.5642795777</v>
      </c>
      <c r="L103" s="205" cm="1">
        <f t="array" ref="L103">INDEX('Asset Mapping'!$J$126:$J$128,MATCH($C103,'Asset Mapping'!$B$126:$B$128,0),0)*'Allocator Data'!L155</f>
        <v>0</v>
      </c>
    </row>
    <row r="104" spans="2:12" ht="12" customHeight="1">
      <c r="B104" s="70" t="str">
        <f t="shared" ref="B104:C104" si="40">B89</f>
        <v>LV lines</v>
      </c>
      <c r="C104" s="100" t="str">
        <f t="shared" si="40"/>
        <v>LV - CPD</v>
      </c>
      <c r="F104" s="87">
        <f t="shared" si="36"/>
        <v>0</v>
      </c>
      <c r="I104" s="205" cm="1">
        <f t="array" ref="I104">INDEX('Asset Mapping'!$G$126:$G$128,MATCH($C104,'Asset Mapping'!$B$126:$B$128,0),0)*'Allocator Data'!I156</f>
        <v>0</v>
      </c>
      <c r="J104" s="205" cm="1">
        <f t="array" ref="J104">INDEX('Asset Mapping'!$H$126:$H$128,MATCH($C104,'Asset Mapping'!$B$126:$B$128,0),0)*'Allocator Data'!J156</f>
        <v>0</v>
      </c>
      <c r="K104" s="205" cm="1">
        <f t="array" ref="K104">INDEX('Asset Mapping'!$I$126:$I$128,MATCH($C104,'Asset Mapping'!$B$126:$B$128,0),0)*'Allocator Data'!K156</f>
        <v>0</v>
      </c>
      <c r="L104" s="205" cm="1">
        <f t="array" ref="L104">INDEX('Asset Mapping'!$J$126:$J$128,MATCH($C104,'Asset Mapping'!$B$126:$B$128,0),0)*'Allocator Data'!L156</f>
        <v>0</v>
      </c>
    </row>
    <row r="105" spans="2:12" ht="12" customHeight="1">
      <c r="B105" s="70" t="str">
        <f t="shared" ref="B105:C105" si="41">B90</f>
        <v>HV cables</v>
      </c>
      <c r="C105" s="100" t="str">
        <f t="shared" si="41"/>
        <v>HV - CPD</v>
      </c>
      <c r="F105" s="87">
        <f t="shared" si="36"/>
        <v>46529683.944887079</v>
      </c>
      <c r="I105" s="205" cm="1">
        <f t="array" ref="I105">INDEX('Asset Mapping'!$G$126:$G$128,MATCH($C105,'Asset Mapping'!$B$126:$B$128,0),0)*'Allocator Data'!I157</f>
        <v>13933685.039209306</v>
      </c>
      <c r="J105" s="205" cm="1">
        <f t="array" ref="J105">INDEX('Asset Mapping'!$H$126:$H$128,MATCH($C105,'Asset Mapping'!$B$126:$B$128,0),0)*'Allocator Data'!J157</f>
        <v>18118804.572617561</v>
      </c>
      <c r="K105" s="205" cm="1">
        <f t="array" ref="K105">INDEX('Asset Mapping'!$I$126:$I$128,MATCH($C105,'Asset Mapping'!$B$126:$B$128,0),0)*'Allocator Data'!K157</f>
        <v>14477194.333060212</v>
      </c>
      <c r="L105" s="205" cm="1">
        <f t="array" ref="L105">INDEX('Asset Mapping'!$J$126:$J$128,MATCH($C105,'Asset Mapping'!$B$126:$B$128,0),0)*'Allocator Data'!L157</f>
        <v>0</v>
      </c>
    </row>
    <row r="106" spans="2:12" ht="12" customHeight="1">
      <c r="B106" s="70" t="str">
        <f t="shared" ref="B106:C106" si="42">B91</f>
        <v>LV cables</v>
      </c>
      <c r="C106" s="100" t="str">
        <f t="shared" si="42"/>
        <v>LV - CPD</v>
      </c>
      <c r="F106" s="87">
        <f t="shared" si="36"/>
        <v>0</v>
      </c>
      <c r="I106" s="205" cm="1">
        <f t="array" ref="I106">INDEX('Asset Mapping'!$G$126:$G$128,MATCH($C106,'Asset Mapping'!$B$126:$B$128,0),0)*'Allocator Data'!I158</f>
        <v>0</v>
      </c>
      <c r="J106" s="205" cm="1">
        <f t="array" ref="J106">INDEX('Asset Mapping'!$H$126:$H$128,MATCH($C106,'Asset Mapping'!$B$126:$B$128,0),0)*'Allocator Data'!J158</f>
        <v>0</v>
      </c>
      <c r="K106" s="205" cm="1">
        <f t="array" ref="K106">INDEX('Asset Mapping'!$I$126:$I$128,MATCH($C106,'Asset Mapping'!$B$126:$B$128,0),0)*'Allocator Data'!K158</f>
        <v>0</v>
      </c>
      <c r="L106" s="205" cm="1">
        <f t="array" ref="L106">INDEX('Asset Mapping'!$J$126:$J$128,MATCH($C106,'Asset Mapping'!$B$126:$B$128,0),0)*'Allocator Data'!L158</f>
        <v>0</v>
      </c>
    </row>
    <row r="107" spans="2:12" ht="12" customHeight="1">
      <c r="B107" s="70" t="str">
        <f t="shared" ref="B107:C107" si="43">B92</f>
        <v>Dist Subs</v>
      </c>
      <c r="C107" s="100" t="str">
        <f t="shared" si="43"/>
        <v>LV - CPD</v>
      </c>
      <c r="F107" s="87">
        <f t="shared" si="36"/>
        <v>0</v>
      </c>
      <c r="I107" s="205" cm="1">
        <f t="array" ref="I107">INDEX('Asset Mapping'!$G$126:$G$128,MATCH($C107,'Asset Mapping'!$B$126:$B$128,0),0)*'Allocator Data'!I159</f>
        <v>0</v>
      </c>
      <c r="J107" s="205" cm="1">
        <f t="array" ref="J107">INDEX('Asset Mapping'!$H$126:$H$128,MATCH($C107,'Asset Mapping'!$B$126:$B$128,0),0)*'Allocator Data'!J159</f>
        <v>0</v>
      </c>
      <c r="K107" s="205" cm="1">
        <f t="array" ref="K107">INDEX('Asset Mapping'!$I$126:$I$128,MATCH($C107,'Asset Mapping'!$B$126:$B$128,0),0)*'Allocator Data'!K159</f>
        <v>0</v>
      </c>
      <c r="L107" s="205" cm="1">
        <f t="array" ref="L107">INDEX('Asset Mapping'!$J$126:$J$128,MATCH($C107,'Asset Mapping'!$B$126:$B$128,0),0)*'Allocator Data'!L159</f>
        <v>0</v>
      </c>
    </row>
    <row r="108" spans="2:12" ht="12" customHeight="1">
      <c r="B108" s="70" t="str">
        <f t="shared" ref="B108:C108" si="44">B93</f>
        <v>Network Posting</v>
      </c>
      <c r="C108" s="100" t="str">
        <f t="shared" si="44"/>
        <v>Shared - CPD</v>
      </c>
      <c r="F108" s="87">
        <f t="shared" si="36"/>
        <v>1878114.2784102531</v>
      </c>
      <c r="I108" s="205" cm="1">
        <f t="array" ref="I108">INDEX('Asset Mapping'!$G$126:$G$128,MATCH($C108,'Asset Mapping'!$B$126:$B$128,0),0)*'Allocator Data'!I160</f>
        <v>1340739.5450798997</v>
      </c>
      <c r="J108" s="205" cm="1">
        <f t="array" ref="J108">INDEX('Asset Mapping'!$H$126:$H$128,MATCH($C108,'Asset Mapping'!$B$126:$B$128,0),0)*'Allocator Data'!J160</f>
        <v>198659.24270166951</v>
      </c>
      <c r="K108" s="205" cm="1">
        <f t="array" ref="K108">INDEX('Asset Mapping'!$I$126:$I$128,MATCH($C108,'Asset Mapping'!$B$126:$B$128,0),0)*'Allocator Data'!K160</f>
        <v>338715.49062868406</v>
      </c>
      <c r="L108" s="205" cm="1">
        <f t="array" ref="L108">INDEX('Asset Mapping'!$J$126:$J$128,MATCH($C108,'Asset Mapping'!$B$126:$B$128,0),0)*'Allocator Data'!L160</f>
        <v>0</v>
      </c>
    </row>
    <row r="109" spans="2:12" ht="12" customHeight="1">
      <c r="B109" s="70" t="str">
        <f t="shared" ref="B109:C109" si="45">B94</f>
        <v>System Control</v>
      </c>
      <c r="C109" s="100" t="str">
        <f t="shared" si="45"/>
        <v>HV - CPD</v>
      </c>
      <c r="E109" s="88"/>
      <c r="F109" s="87">
        <f>SUM(I109:L109)</f>
        <v>2905501.4000142957</v>
      </c>
      <c r="I109" s="205" cm="1">
        <f t="array" ref="I109">INDEX('Asset Mapping'!$G$126:$G$128,MATCH($C109,'Asset Mapping'!$B$126:$B$128,0),0)*'Allocator Data'!I161</f>
        <v>1986932.0375368469</v>
      </c>
      <c r="J109" s="205" cm="1">
        <f t="array" ref="J109">INDEX('Asset Mapping'!$H$126:$H$128,MATCH($C109,'Asset Mapping'!$B$126:$B$128,0),0)*'Allocator Data'!J161</f>
        <v>617342.41820737603</v>
      </c>
      <c r="K109" s="205" cm="1">
        <f t="array" ref="K109">INDEX('Asset Mapping'!$I$126:$I$128,MATCH($C109,'Asset Mapping'!$B$126:$B$128,0),0)*'Allocator Data'!K161</f>
        <v>301226.94427007285</v>
      </c>
      <c r="L109" s="205" cm="1">
        <f t="array" ref="L109">INDEX('Asset Mapping'!$J$126:$J$128,MATCH($C109,'Asset Mapping'!$B$126:$B$128,0),0)*'Allocator Data'!L161</f>
        <v>0</v>
      </c>
    </row>
    <row r="110" spans="2:12" ht="12" customHeight="1">
      <c r="F110" s="88">
        <f>SUM(F100:F109)</f>
        <v>110459069.60194533</v>
      </c>
      <c r="I110" s="88">
        <f>SUM(I100:I109)</f>
        <v>41900176.237924196</v>
      </c>
      <c r="J110" s="88">
        <f t="shared" ref="J110" si="46">SUM(J100:J109)</f>
        <v>42317543.468460172</v>
      </c>
      <c r="K110" s="88">
        <f t="shared" ref="K110" si="47">SUM(K100:K109)</f>
        <v>26241349.895560957</v>
      </c>
      <c r="L110" s="88">
        <f t="shared" ref="L110" si="48">SUM(L100:L109)</f>
        <v>0</v>
      </c>
    </row>
    <row r="112" spans="2:12" ht="12" customHeight="1">
      <c r="B112" s="160" t="str">
        <f>B21</f>
        <v>Load group 5</v>
      </c>
      <c r="C112" s="77" t="s">
        <v>205</v>
      </c>
      <c r="D112" s="77"/>
      <c r="E112" s="77"/>
      <c r="F112" s="77" t="s">
        <v>7</v>
      </c>
      <c r="G112" s="75"/>
      <c r="H112" s="75"/>
      <c r="I112" s="75" t="str">
        <f>I97</f>
        <v>Dunedin</v>
      </c>
      <c r="J112" s="75" t="str">
        <f t="shared" ref="J112:L112" si="49">J97</f>
        <v>Central Otago</v>
      </c>
      <c r="K112" s="75" t="str">
        <f t="shared" si="49"/>
        <v>Queenstown</v>
      </c>
      <c r="L112" s="75" t="str">
        <f t="shared" si="49"/>
        <v>Te Anau</v>
      </c>
    </row>
    <row r="114" spans="2:12" ht="12" customHeight="1">
      <c r="B114" s="161" t="s">
        <v>141</v>
      </c>
    </row>
    <row r="115" spans="2:12" ht="12" customHeight="1">
      <c r="B115" s="70" t="str">
        <f>B100</f>
        <v>33KV Lines</v>
      </c>
      <c r="C115" s="100" t="str">
        <f>C100</f>
        <v>HV - CPD</v>
      </c>
      <c r="F115" s="87">
        <f t="shared" ref="F115:F123" si="50">SUM(I115:L115)</f>
        <v>856278.428926897</v>
      </c>
      <c r="I115" s="205" cm="1">
        <f t="array" ref="I115">INDEX('Asset Mapping'!$G$130:$G$132,MATCH($C115,'Asset Mapping'!$B$130:$B$132,0),0)*'Allocator Data'!I152</f>
        <v>503279.80698586517</v>
      </c>
      <c r="J115" s="205" cm="1">
        <f t="array" ref="J115">INDEX('Asset Mapping'!$H$130:$H$132,MATCH($C115,'Asset Mapping'!$B$130:$B$132,0),0)*'Allocator Data'!J152</f>
        <v>112225.97001478793</v>
      </c>
      <c r="K115" s="205" cm="1">
        <f t="array" ref="K115">INDEX('Asset Mapping'!$I$130:$I$132,MATCH($C115,'Asset Mapping'!$B$130:$B$132,0),0)*'Allocator Data'!K152</f>
        <v>240772.65192624388</v>
      </c>
      <c r="L115" s="205" cm="1">
        <f t="array" ref="L115">INDEX('Asset Mapping'!$J$130:$J$132,MATCH($C115,'Asset Mapping'!$B$130:$B$132,0),0)*'Allocator Data'!L152</f>
        <v>0</v>
      </c>
    </row>
    <row r="116" spans="2:12" ht="12" customHeight="1">
      <c r="B116" s="70" t="str">
        <f t="shared" ref="B116:C116" si="51">B101</f>
        <v>33KV Cables</v>
      </c>
      <c r="C116" s="100" t="str">
        <f t="shared" si="51"/>
        <v>HV - CPD</v>
      </c>
      <c r="F116" s="87">
        <f t="shared" si="50"/>
        <v>2860599.9674015199</v>
      </c>
      <c r="I116" s="205" cm="1">
        <f t="array" ref="I116">INDEX('Asset Mapping'!$G$130:$G$132,MATCH($C116,'Asset Mapping'!$B$130:$B$132,0),0)*'Allocator Data'!I153</f>
        <v>2684722.5078544668</v>
      </c>
      <c r="J116" s="205" cm="1">
        <f t="array" ref="J116">INDEX('Asset Mapping'!$H$130:$H$132,MATCH($C116,'Asset Mapping'!$B$130:$B$132,0),0)*'Allocator Data'!J153</f>
        <v>28326.123149118815</v>
      </c>
      <c r="K116" s="205" cm="1">
        <f t="array" ref="K116">INDEX('Asset Mapping'!$I$130:$I$132,MATCH($C116,'Asset Mapping'!$B$130:$B$132,0),0)*'Allocator Data'!K153</f>
        <v>147551.33639793418</v>
      </c>
      <c r="L116" s="205" cm="1">
        <f t="array" ref="L116">INDEX('Asset Mapping'!$J$130:$J$132,MATCH($C116,'Asset Mapping'!$B$130:$B$132,0),0)*'Allocator Data'!L153</f>
        <v>0</v>
      </c>
    </row>
    <row r="117" spans="2:12" ht="12" customHeight="1">
      <c r="B117" s="70" t="str">
        <f t="shared" ref="B117:C117" si="52">B102</f>
        <v>Zone Subs</v>
      </c>
      <c r="C117" s="100" t="str">
        <f t="shared" si="52"/>
        <v>LV - CPD</v>
      </c>
      <c r="F117" s="87">
        <f t="shared" si="50"/>
        <v>0</v>
      </c>
      <c r="I117" s="205" cm="1">
        <f t="array" ref="I117">INDEX('Asset Mapping'!$G$130:$G$132,MATCH($C117,'Asset Mapping'!$B$130:$B$132,0),0)*'Allocator Data'!I154</f>
        <v>0</v>
      </c>
      <c r="J117" s="205" cm="1">
        <f t="array" ref="J117">INDEX('Asset Mapping'!$H$130:$H$132,MATCH($C117,'Asset Mapping'!$B$130:$B$132,0),0)*'Allocator Data'!J154</f>
        <v>0</v>
      </c>
      <c r="K117" s="205" cm="1">
        <f t="array" ref="K117">INDEX('Asset Mapping'!$I$130:$I$132,MATCH($C117,'Asset Mapping'!$B$130:$B$132,0),0)*'Allocator Data'!K154</f>
        <v>0</v>
      </c>
      <c r="L117" s="205" cm="1">
        <f t="array" ref="L117">INDEX('Asset Mapping'!$J$130:$J$132,MATCH($C117,'Asset Mapping'!$B$130:$B$132,0),0)*'Allocator Data'!L154</f>
        <v>0</v>
      </c>
    </row>
    <row r="118" spans="2:12" ht="12" customHeight="1">
      <c r="B118" s="70" t="str">
        <f t="shared" ref="B118:C118" si="53">B103</f>
        <v>HV lines</v>
      </c>
      <c r="C118" s="100" t="str">
        <f t="shared" si="53"/>
        <v>HV - CPD</v>
      </c>
      <c r="F118" s="87">
        <f t="shared" si="50"/>
        <v>7568418.1624602647</v>
      </c>
      <c r="I118" s="205" cm="1">
        <f t="array" ref="I118">INDEX('Asset Mapping'!$G$130:$G$132,MATCH($C118,'Asset Mapping'!$B$130:$B$132,0),0)*'Allocator Data'!I155</f>
        <v>6639688.7415312119</v>
      </c>
      <c r="J118" s="205" cm="1">
        <f t="array" ref="J118">INDEX('Asset Mapping'!$H$130:$H$132,MATCH($C118,'Asset Mapping'!$B$130:$B$132,0),0)*'Allocator Data'!J155</f>
        <v>345538.0710978781</v>
      </c>
      <c r="K118" s="205" cm="1">
        <f t="array" ref="K118">INDEX('Asset Mapping'!$I$130:$I$132,MATCH($C118,'Asset Mapping'!$B$130:$B$132,0),0)*'Allocator Data'!K155</f>
        <v>583191.34983117506</v>
      </c>
      <c r="L118" s="205" cm="1">
        <f t="array" ref="L118">INDEX('Asset Mapping'!$J$130:$J$132,MATCH($C118,'Asset Mapping'!$B$130:$B$132,0),0)*'Allocator Data'!L155</f>
        <v>0</v>
      </c>
    </row>
    <row r="119" spans="2:12" ht="12" customHeight="1">
      <c r="B119" s="70" t="str">
        <f t="shared" ref="B119:C119" si="54">B104</f>
        <v>LV lines</v>
      </c>
      <c r="C119" s="100" t="str">
        <f t="shared" si="54"/>
        <v>LV - CPD</v>
      </c>
      <c r="F119" s="87">
        <f t="shared" si="50"/>
        <v>0</v>
      </c>
      <c r="I119" s="205" cm="1">
        <f t="array" ref="I119">INDEX('Asset Mapping'!$G$130:$G$132,MATCH($C119,'Asset Mapping'!$B$130:$B$132,0),0)*'Allocator Data'!I156</f>
        <v>0</v>
      </c>
      <c r="J119" s="205" cm="1">
        <f t="array" ref="J119">INDEX('Asset Mapping'!$H$130:$H$132,MATCH($C119,'Asset Mapping'!$B$130:$B$132,0),0)*'Allocator Data'!J156</f>
        <v>0</v>
      </c>
      <c r="K119" s="205" cm="1">
        <f t="array" ref="K119">INDEX('Asset Mapping'!$I$130:$I$132,MATCH($C119,'Asset Mapping'!$B$130:$B$132,0),0)*'Allocator Data'!K156</f>
        <v>0</v>
      </c>
      <c r="L119" s="205" cm="1">
        <f t="array" ref="L119">INDEX('Asset Mapping'!$J$130:$J$132,MATCH($C119,'Asset Mapping'!$B$130:$B$132,0),0)*'Allocator Data'!L156</f>
        <v>0</v>
      </c>
    </row>
    <row r="120" spans="2:12" ht="12" customHeight="1">
      <c r="B120" s="70" t="str">
        <f t="shared" ref="B120:C120" si="55">B105</f>
        <v>HV cables</v>
      </c>
      <c r="C120" s="100" t="str">
        <f t="shared" si="55"/>
        <v>HV - CPD</v>
      </c>
      <c r="F120" s="87">
        <f t="shared" si="50"/>
        <v>7198735.7249763887</v>
      </c>
      <c r="I120" s="205" cm="1">
        <f t="array" ref="I120">INDEX('Asset Mapping'!$G$130:$G$132,MATCH($C120,'Asset Mapping'!$B$130:$B$132,0),0)*'Allocator Data'!I157</f>
        <v>5557731.8222122183</v>
      </c>
      <c r="J120" s="205" cm="1">
        <f t="array" ref="J120">INDEX('Asset Mapping'!$H$130:$H$132,MATCH($C120,'Asset Mapping'!$B$130:$B$132,0),0)*'Allocator Data'!J157</f>
        <v>376661.32080433797</v>
      </c>
      <c r="K120" s="205" cm="1">
        <f t="array" ref="K120">INDEX('Asset Mapping'!$I$130:$I$132,MATCH($C120,'Asset Mapping'!$B$130:$B$132,0),0)*'Allocator Data'!K157</f>
        <v>1264342.5819598322</v>
      </c>
      <c r="L120" s="205" cm="1">
        <f t="array" ref="L120">INDEX('Asset Mapping'!$J$130:$J$132,MATCH($C120,'Asset Mapping'!$B$130:$B$132,0),0)*'Allocator Data'!L157</f>
        <v>0</v>
      </c>
    </row>
    <row r="121" spans="2:12" ht="12" customHeight="1">
      <c r="B121" s="70" t="str">
        <f t="shared" ref="B121:C121" si="56">B106</f>
        <v>LV cables</v>
      </c>
      <c r="C121" s="100" t="str">
        <f t="shared" si="56"/>
        <v>LV - CPD</v>
      </c>
      <c r="F121" s="87">
        <f t="shared" si="50"/>
        <v>0</v>
      </c>
      <c r="I121" s="205" cm="1">
        <f t="array" ref="I121">INDEX('Asset Mapping'!$G$130:$G$132,MATCH($C121,'Asset Mapping'!$B$130:$B$132,0),0)*'Allocator Data'!I158</f>
        <v>0</v>
      </c>
      <c r="J121" s="205" cm="1">
        <f t="array" ref="J121">INDEX('Asset Mapping'!$H$130:$H$132,MATCH($C121,'Asset Mapping'!$B$130:$B$132,0),0)*'Allocator Data'!J158</f>
        <v>0</v>
      </c>
      <c r="K121" s="205" cm="1">
        <f t="array" ref="K121">INDEX('Asset Mapping'!$I$130:$I$132,MATCH($C121,'Asset Mapping'!$B$130:$B$132,0),0)*'Allocator Data'!K158</f>
        <v>0</v>
      </c>
      <c r="L121" s="205" cm="1">
        <f t="array" ref="L121">INDEX('Asset Mapping'!$J$130:$J$132,MATCH($C121,'Asset Mapping'!$B$130:$B$132,0),0)*'Allocator Data'!L158</f>
        <v>0</v>
      </c>
    </row>
    <row r="122" spans="2:12" ht="12" customHeight="1">
      <c r="B122" s="70" t="str">
        <f t="shared" ref="B122:C122" si="57">B107</f>
        <v>Dist Subs</v>
      </c>
      <c r="C122" s="100" t="str">
        <f t="shared" si="57"/>
        <v>LV - CPD</v>
      </c>
      <c r="F122" s="87">
        <f t="shared" si="50"/>
        <v>0</v>
      </c>
      <c r="I122" s="205" cm="1">
        <f t="array" ref="I122">INDEX('Asset Mapping'!$G$130:$G$132,MATCH($C122,'Asset Mapping'!$B$130:$B$132,0),0)*'Allocator Data'!I159</f>
        <v>0</v>
      </c>
      <c r="J122" s="205" cm="1">
        <f t="array" ref="J122">INDEX('Asset Mapping'!$H$130:$H$132,MATCH($C122,'Asset Mapping'!$B$130:$B$132,0),0)*'Allocator Data'!J159</f>
        <v>0</v>
      </c>
      <c r="K122" s="205" cm="1">
        <f t="array" ref="K122">INDEX('Asset Mapping'!$I$130:$I$132,MATCH($C122,'Asset Mapping'!$B$130:$B$132,0),0)*'Allocator Data'!K159</f>
        <v>0</v>
      </c>
      <c r="L122" s="205" cm="1">
        <f t="array" ref="L122">INDEX('Asset Mapping'!$J$130:$J$132,MATCH($C122,'Asset Mapping'!$B$130:$B$132,0),0)*'Allocator Data'!L159</f>
        <v>0</v>
      </c>
    </row>
    <row r="123" spans="2:12" ht="12" customHeight="1">
      <c r="B123" s="70" t="str">
        <f t="shared" ref="B123:C123" si="58">B108</f>
        <v>Network Posting</v>
      </c>
      <c r="C123" s="100" t="str">
        <f t="shared" si="58"/>
        <v>Shared - CPD</v>
      </c>
      <c r="F123" s="87">
        <f t="shared" si="50"/>
        <v>568492.04527947668</v>
      </c>
      <c r="I123" s="205" cm="1">
        <f t="array" ref="I123">INDEX('Asset Mapping'!$G$130:$G$132,MATCH($C123,'Asset Mapping'!$B$130:$B$132,0),0)*'Allocator Data'!I160</f>
        <v>534781.05856566294</v>
      </c>
      <c r="J123" s="205" cm="1">
        <f t="array" ref="J123">INDEX('Asset Mapping'!$H$130:$H$132,MATCH($C123,'Asset Mapping'!$B$130:$B$132,0),0)*'Allocator Data'!J160</f>
        <v>4129.8117900716634</v>
      </c>
      <c r="K123" s="205" cm="1">
        <f t="array" ref="K123">INDEX('Asset Mapping'!$I$130:$I$132,MATCH($C123,'Asset Mapping'!$B$130:$B$132,0),0)*'Allocator Data'!K160</f>
        <v>29581.174923742081</v>
      </c>
      <c r="L123" s="205" cm="1">
        <f t="array" ref="L123">INDEX('Asset Mapping'!$J$130:$J$132,MATCH($C123,'Asset Mapping'!$B$130:$B$132,0),0)*'Allocator Data'!L160</f>
        <v>0</v>
      </c>
    </row>
    <row r="124" spans="2:12" ht="12" customHeight="1">
      <c r="B124" s="70" t="str">
        <f t="shared" ref="B124:C124" si="59">B109</f>
        <v>System Control</v>
      </c>
      <c r="C124" s="100" t="str">
        <f t="shared" si="59"/>
        <v>HV - CPD</v>
      </c>
      <c r="E124" s="88"/>
      <c r="F124" s="87">
        <f>SUM(I124:L124)</f>
        <v>831668.73744885693</v>
      </c>
      <c r="I124" s="205" cm="1">
        <f t="array" ref="I124">INDEX('Asset Mapping'!$G$130:$G$132,MATCH($C124,'Asset Mapping'!$B$130:$B$132,0),0)*'Allocator Data'!I161</f>
        <v>792527.99116077507</v>
      </c>
      <c r="J124" s="205" cm="1">
        <f t="array" ref="J124">INDEX('Asset Mapping'!$H$130:$H$132,MATCH($C124,'Asset Mapping'!$B$130:$B$132,0),0)*'Allocator Data'!J161</f>
        <v>12833.573522943603</v>
      </c>
      <c r="K124" s="205" cm="1">
        <f t="array" ref="K124">INDEX('Asset Mapping'!$I$130:$I$132,MATCH($C124,'Asset Mapping'!$B$130:$B$132,0),0)*'Allocator Data'!K161</f>
        <v>26307.172765138177</v>
      </c>
      <c r="L124" s="205" cm="1">
        <f t="array" ref="L124">INDEX('Asset Mapping'!$J$130:$J$132,MATCH($C124,'Asset Mapping'!$B$130:$B$132,0),0)*'Allocator Data'!L161</f>
        <v>0</v>
      </c>
    </row>
    <row r="125" spans="2:12" ht="12" customHeight="1">
      <c r="F125" s="88">
        <f>SUM(F115:F124)</f>
        <v>19884193.066493403</v>
      </c>
      <c r="I125" s="88">
        <f>SUM(I115:I124)</f>
        <v>16712731.928310201</v>
      </c>
      <c r="J125" s="88">
        <f t="shared" ref="J125" si="60">SUM(J115:J124)</f>
        <v>879714.87037913816</v>
      </c>
      <c r="K125" s="88">
        <f t="shared" ref="K125" si="61">SUM(K115:K124)</f>
        <v>2291746.2678040657</v>
      </c>
      <c r="L125" s="88">
        <f t="shared" ref="L125" si="62">SUM(L115:L124)</f>
        <v>0</v>
      </c>
    </row>
  </sheetData>
  <sheetProtection algorithmName="SHA-512" hashValue="EA/Wb1dX94v24P1olIuAVyih/SQbTJxVq/mf5Ht66rQOUZpbwXro8mtcpB+0OVtEv8kPgdg9wRp9MJ3RTOEW5A==" saltValue="9NdW0OUQKTTVwzZAAd69mw==" spinCount="100000" sheet="1" objects="1" scenarios="1"/>
  <conditionalFormatting sqref="C23">
    <cfRule type="cellIs" dxfId="47" priority="7" stopIfTrue="1" operator="equal">
      <formula>0</formula>
    </cfRule>
    <cfRule type="cellIs" dxfId="46" priority="8" stopIfTrue="1" operator="notEqual">
      <formula>0</formula>
    </cfRule>
  </conditionalFormatting>
  <pageMargins left="0.7" right="0.7" top="0.75" bottom="0.75" header="0.3" footer="0.3"/>
  <pageSetup paperSize="8"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5">
    <pageSetUpPr fitToPage="1"/>
  </sheetPr>
  <dimension ref="B2:L264"/>
  <sheetViews>
    <sheetView showGridLines="0" workbookViewId="0">
      <selection sqref="A1:XFD1048576"/>
    </sheetView>
  </sheetViews>
  <sheetFormatPr defaultColWidth="9.140625" defaultRowHeight="12" customHeight="1"/>
  <cols>
    <col min="1" max="1" width="2.7109375" style="70" customWidth="1"/>
    <col min="2" max="2" width="40.7109375" style="70" customWidth="1"/>
    <col min="3" max="3" width="11.7109375" style="100" customWidth="1"/>
    <col min="4" max="5" width="14.42578125" style="70" customWidth="1"/>
    <col min="6" max="6" width="22.7109375" style="70" customWidth="1"/>
    <col min="7" max="8" width="2.7109375" style="70" customWidth="1"/>
    <col min="9" max="11" width="13.140625" style="70" customWidth="1"/>
    <col min="12" max="12" width="22.7109375" style="70" customWidth="1"/>
    <col min="13" max="13" width="2.7109375" style="70" customWidth="1"/>
    <col min="14" max="37" width="9.140625" style="70" customWidth="1"/>
    <col min="38" max="16384" width="9.140625" style="70"/>
  </cols>
  <sheetData>
    <row r="2" spans="2:12" ht="15" customHeight="1">
      <c r="B2" s="71" t="str">
        <f ca="1">MID(CELL("filename",A1),FIND("]",CELL("filename",A1))+1,255)</f>
        <v>RAB - Depreciation Allocations</v>
      </c>
    </row>
    <row r="3" spans="2:12" ht="12" customHeight="1">
      <c r="B3" s="72" t="str">
        <f>'Name labels'!B8</f>
        <v>Pricing Area Name</v>
      </c>
      <c r="C3" s="96"/>
      <c r="D3" s="73"/>
      <c r="E3" s="73"/>
      <c r="F3" s="73"/>
      <c r="G3" s="73"/>
      <c r="H3" s="73"/>
      <c r="I3" s="196" t="str">
        <f>'Name labels'!B10</f>
        <v>Dunedin</v>
      </c>
      <c r="J3" s="74" t="str">
        <f>'Name labels'!B11</f>
        <v>Central Otago</v>
      </c>
      <c r="K3" s="74" t="str">
        <f>'Name labels'!B12</f>
        <v>Queenstown</v>
      </c>
      <c r="L3" s="74" t="str">
        <f>'Name labels'!B13</f>
        <v>Te Anau</v>
      </c>
    </row>
    <row r="4" spans="2:12" ht="12" customHeight="1">
      <c r="B4" s="72"/>
      <c r="C4" s="96"/>
      <c r="D4" s="73"/>
      <c r="E4" s="73"/>
      <c r="F4" s="73"/>
      <c r="G4" s="73"/>
      <c r="H4" s="73"/>
      <c r="I4" s="76">
        <v>1</v>
      </c>
      <c r="J4" s="76">
        <v>2</v>
      </c>
      <c r="K4" s="76">
        <v>3</v>
      </c>
      <c r="L4" s="76">
        <v>4</v>
      </c>
    </row>
    <row r="7" spans="2:12" ht="12" customHeight="1">
      <c r="B7" s="72" t="s">
        <v>60</v>
      </c>
      <c r="C7" s="77"/>
      <c r="D7" s="77"/>
      <c r="E7" s="75"/>
      <c r="F7" s="75"/>
      <c r="G7" s="75"/>
      <c r="H7" s="75"/>
      <c r="I7" s="75"/>
      <c r="J7" s="75"/>
      <c r="K7" s="75"/>
      <c r="L7" s="75"/>
    </row>
    <row r="9" spans="2:12" ht="12" customHeight="1">
      <c r="B9" s="78" t="s">
        <v>244</v>
      </c>
    </row>
    <row r="10" spans="2:12" ht="12" customHeight="1">
      <c r="B10" s="70" t="s">
        <v>242</v>
      </c>
    </row>
    <row r="12" spans="2:12" ht="12" customHeight="1">
      <c r="B12" s="72" t="s">
        <v>203</v>
      </c>
      <c r="C12" s="77" t="s">
        <v>178</v>
      </c>
      <c r="D12" s="77"/>
      <c r="E12" s="75"/>
      <c r="F12" s="77" t="s">
        <v>7</v>
      </c>
      <c r="G12" s="75"/>
      <c r="H12" s="75"/>
      <c r="I12" s="75"/>
      <c r="J12" s="75"/>
      <c r="K12" s="75"/>
      <c r="L12" s="75"/>
    </row>
    <row r="14" spans="2:12" ht="12" customHeight="1">
      <c r="B14" s="161" t="s">
        <v>198</v>
      </c>
      <c r="C14" s="112"/>
    </row>
    <row r="16" spans="2:12" s="197" customFormat="1" ht="12" customHeight="1">
      <c r="B16" s="197" t="str">
        <f>'Name labels'!C10</f>
        <v>Load group Streetlighting</v>
      </c>
      <c r="C16" s="198" t="s">
        <v>186</v>
      </c>
      <c r="F16" s="199">
        <f t="shared" ref="F16:F21" si="0">SUM(I16:L16)</f>
        <v>68107.179950616803</v>
      </c>
      <c r="I16" s="199">
        <f>I50</f>
        <v>23511.46303906164</v>
      </c>
      <c r="J16" s="199">
        <f t="shared" ref="J16:L16" si="1">J50</f>
        <v>19231.573702222788</v>
      </c>
      <c r="K16" s="199">
        <f t="shared" si="1"/>
        <v>13460.11633195321</v>
      </c>
      <c r="L16" s="199">
        <f t="shared" si="1"/>
        <v>11904.026877379165</v>
      </c>
    </row>
    <row r="17" spans="2:12" s="197" customFormat="1" ht="12" customHeight="1">
      <c r="B17" s="197" t="str">
        <f>'Name labels'!C11</f>
        <v>Load group 1 (incl residential)</v>
      </c>
      <c r="C17" s="198" t="s">
        <v>186</v>
      </c>
      <c r="F17" s="199">
        <f t="shared" si="0"/>
        <v>9119510.7853758391</v>
      </c>
      <c r="I17" s="199">
        <f>I65</f>
        <v>4659996.5293947682</v>
      </c>
      <c r="J17" s="199">
        <f t="shared" ref="J17:L17" si="2">J65</f>
        <v>2706793.3245275007</v>
      </c>
      <c r="K17" s="199">
        <f t="shared" si="2"/>
        <v>1748147.1682744275</v>
      </c>
      <c r="L17" s="199">
        <f t="shared" si="2"/>
        <v>4573.763179144079</v>
      </c>
    </row>
    <row r="18" spans="2:12" s="197" customFormat="1" ht="12" customHeight="1">
      <c r="B18" s="197" t="str">
        <f>'Name labels'!C12</f>
        <v>Load group 2</v>
      </c>
      <c r="C18" s="198" t="s">
        <v>186</v>
      </c>
      <c r="F18" s="199">
        <f t="shared" si="0"/>
        <v>2312156.2394446479</v>
      </c>
      <c r="I18" s="199">
        <f>I80</f>
        <v>1066080.8711960383</v>
      </c>
      <c r="J18" s="199">
        <f t="shared" ref="J18:L18" si="3">J80</f>
        <v>659625.77951726632</v>
      </c>
      <c r="K18" s="199">
        <f t="shared" si="3"/>
        <v>586344.37878786668</v>
      </c>
      <c r="L18" s="199">
        <f t="shared" si="3"/>
        <v>105.20994347675624</v>
      </c>
    </row>
    <row r="19" spans="2:12" s="197" customFormat="1" ht="12" customHeight="1">
      <c r="B19" s="197" t="str">
        <f>'Name labels'!C13</f>
        <v>Load group 3</v>
      </c>
      <c r="C19" s="198" t="s">
        <v>186</v>
      </c>
      <c r="F19" s="199">
        <f t="shared" si="0"/>
        <v>3769742.8812810401</v>
      </c>
      <c r="I19" s="199">
        <f>I95</f>
        <v>1516999.8776046191</v>
      </c>
      <c r="J19" s="199">
        <f t="shared" ref="J19:L19" si="4">J95</f>
        <v>1551138.3584484474</v>
      </c>
      <c r="K19" s="199">
        <f t="shared" si="4"/>
        <v>701604.64522797382</v>
      </c>
      <c r="L19" s="199">
        <f t="shared" si="4"/>
        <v>0</v>
      </c>
    </row>
    <row r="20" spans="2:12" s="197" customFormat="1" ht="12" customHeight="1">
      <c r="B20" s="197" t="str">
        <f>'Name labels'!C14</f>
        <v>Load group 4</v>
      </c>
      <c r="C20" s="198" t="s">
        <v>186</v>
      </c>
      <c r="F20" s="199">
        <f t="shared" si="0"/>
        <v>4321601.4263088778</v>
      </c>
      <c r="I20" s="199">
        <f>I110</f>
        <v>1607094.9606977277</v>
      </c>
      <c r="J20" s="199">
        <f t="shared" ref="J20:L20" si="5">J110</f>
        <v>1672641.3919062952</v>
      </c>
      <c r="K20" s="199">
        <f t="shared" si="5"/>
        <v>1041865.0737048551</v>
      </c>
      <c r="L20" s="199">
        <f t="shared" si="5"/>
        <v>0</v>
      </c>
    </row>
    <row r="21" spans="2:12" s="197" customFormat="1" ht="12" customHeight="1">
      <c r="B21" s="197" t="str">
        <f>'Name labels'!C15</f>
        <v>Load group 5</v>
      </c>
      <c r="C21" s="198" t="s">
        <v>186</v>
      </c>
      <c r="F21" s="199">
        <f t="shared" si="0"/>
        <v>766783.48763897573</v>
      </c>
      <c r="I21" s="199">
        <f>I125</f>
        <v>641022.2980677844</v>
      </c>
      <c r="J21" s="199">
        <f t="shared" ref="J21:L21" si="6">J125</f>
        <v>34771.571898267604</v>
      </c>
      <c r="K21" s="199">
        <f t="shared" si="6"/>
        <v>90989.617672923763</v>
      </c>
      <c r="L21" s="199">
        <f t="shared" si="6"/>
        <v>0</v>
      </c>
    </row>
    <row r="22" spans="2:12" s="200" customFormat="1" ht="12" customHeight="1">
      <c r="B22" s="200" t="s">
        <v>7</v>
      </c>
      <c r="C22" s="112"/>
      <c r="F22" s="201">
        <f>SUM(F16:F21)</f>
        <v>20357902</v>
      </c>
      <c r="I22" s="201">
        <f>SUM(I16:I21)</f>
        <v>9514705.9999999981</v>
      </c>
      <c r="J22" s="201">
        <f>SUM(J16:J21)</f>
        <v>6644202</v>
      </c>
      <c r="K22" s="201">
        <f>SUM(K16:K21)</f>
        <v>4182411.0000000005</v>
      </c>
      <c r="L22" s="201">
        <f>SUM(L16:L21)</f>
        <v>16583</v>
      </c>
    </row>
    <row r="23" spans="2:12" s="197" customFormat="1" ht="12" customHeight="1">
      <c r="B23" s="197" t="s">
        <v>199</v>
      </c>
      <c r="C23" s="83">
        <f>IF(F22='Allocator Data'!D180,0,1)</f>
        <v>0</v>
      </c>
    </row>
    <row r="24" spans="2:12" s="197" customFormat="1" ht="12" customHeight="1">
      <c r="B24" s="202"/>
      <c r="C24" s="100"/>
      <c r="F24" s="203"/>
    </row>
    <row r="25" spans="2:12" s="197" customFormat="1" ht="12" customHeight="1">
      <c r="B25" s="161" t="s">
        <v>204</v>
      </c>
      <c r="C25" s="100"/>
    </row>
    <row r="26" spans="2:12" s="197" customFormat="1" ht="12" customHeight="1">
      <c r="C26" s="198"/>
      <c r="I26" s="204"/>
      <c r="J26" s="204"/>
      <c r="K26" s="204"/>
      <c r="L26" s="204"/>
    </row>
    <row r="27" spans="2:12" s="197" customFormat="1" ht="12" customHeight="1">
      <c r="B27" s="197" t="str">
        <f>'Name labels'!C10 &amp; " " &amp;$C$14</f>
        <v xml:space="preserve">Load group Streetlighting </v>
      </c>
      <c r="C27" s="198" t="s">
        <v>186</v>
      </c>
      <c r="F27" s="82">
        <f>F16/F$22</f>
        <v>3.3454910997516739E-3</v>
      </c>
      <c r="I27" s="82">
        <f t="shared" ref="I27:L32" si="7">IF(I$22&gt;0,I16/I$22,0)</f>
        <v>2.4710656366115405E-3</v>
      </c>
      <c r="J27" s="82">
        <f t="shared" si="7"/>
        <v>2.8944896169958091E-3</v>
      </c>
      <c r="K27" s="82">
        <f t="shared" si="7"/>
        <v>3.2182672463211309E-3</v>
      </c>
      <c r="L27" s="82">
        <f t="shared" si="7"/>
        <v>0.71784519552428183</v>
      </c>
    </row>
    <row r="28" spans="2:12" s="197" customFormat="1" ht="12" customHeight="1">
      <c r="B28" s="197" t="str">
        <f>'Name labels'!C11 &amp; " " &amp;$C$14</f>
        <v xml:space="preserve">Load group 1 (incl residential) </v>
      </c>
      <c r="C28" s="198" t="s">
        <v>186</v>
      </c>
      <c r="F28" s="82">
        <f t="shared" ref="F28:F33" si="8">F17/F$22</f>
        <v>0.44795926345336762</v>
      </c>
      <c r="I28" s="82">
        <f t="shared" si="7"/>
        <v>0.48976778992380521</v>
      </c>
      <c r="J28" s="82">
        <f t="shared" si="7"/>
        <v>0.40739178678304794</v>
      </c>
      <c r="K28" s="82">
        <f t="shared" si="7"/>
        <v>0.41797593978076936</v>
      </c>
      <c r="L28" s="82">
        <f t="shared" si="7"/>
        <v>0.27581035874956755</v>
      </c>
    </row>
    <row r="29" spans="2:12" s="197" customFormat="1" ht="12" customHeight="1">
      <c r="B29" s="197" t="str">
        <f>'Name labels'!C12 &amp; " " &amp;$C$14</f>
        <v xml:space="preserve">Load group 2 </v>
      </c>
      <c r="C29" s="198" t="s">
        <v>186</v>
      </c>
      <c r="F29" s="82">
        <f t="shared" si="8"/>
        <v>0.11357536937964668</v>
      </c>
      <c r="I29" s="82">
        <f t="shared" si="7"/>
        <v>0.11204559249608327</v>
      </c>
      <c r="J29" s="82">
        <f t="shared" si="7"/>
        <v>9.9278405370165801E-2</v>
      </c>
      <c r="K29" s="82">
        <f t="shared" si="7"/>
        <v>0.14019291236271772</v>
      </c>
      <c r="L29" s="82">
        <f t="shared" si="7"/>
        <v>6.3444457261506507E-3</v>
      </c>
    </row>
    <row r="30" spans="2:12" s="197" customFormat="1" ht="12" customHeight="1">
      <c r="B30" s="197" t="str">
        <f>'Name labels'!C13 &amp; " " &amp;$C$14</f>
        <v xml:space="preserve">Load group 3 </v>
      </c>
      <c r="C30" s="198" t="s">
        <v>186</v>
      </c>
      <c r="F30" s="82">
        <f t="shared" si="8"/>
        <v>0.1851734467176942</v>
      </c>
      <c r="I30" s="82">
        <f t="shared" si="7"/>
        <v>0.15943738856509276</v>
      </c>
      <c r="J30" s="82">
        <f t="shared" si="7"/>
        <v>0.23345743528695356</v>
      </c>
      <c r="K30" s="82">
        <f t="shared" si="7"/>
        <v>0.1677512432967429</v>
      </c>
      <c r="L30" s="82">
        <f t="shared" si="7"/>
        <v>0</v>
      </c>
    </row>
    <row r="31" spans="2:12" s="197" customFormat="1" ht="12" customHeight="1">
      <c r="B31" s="197" t="str">
        <f>'Name labels'!C14 &amp; " " &amp;$C$14</f>
        <v xml:space="preserve">Load group 4 </v>
      </c>
      <c r="C31" s="198" t="s">
        <v>186</v>
      </c>
      <c r="F31" s="82">
        <f t="shared" si="8"/>
        <v>0.21228127664181101</v>
      </c>
      <c r="I31" s="82">
        <f t="shared" si="7"/>
        <v>0.16890642345625057</v>
      </c>
      <c r="J31" s="82">
        <f t="shared" si="7"/>
        <v>0.2517445122689369</v>
      </c>
      <c r="K31" s="82">
        <f t="shared" si="7"/>
        <v>0.24910633452925954</v>
      </c>
      <c r="L31" s="82">
        <f t="shared" si="7"/>
        <v>0</v>
      </c>
    </row>
    <row r="32" spans="2:12" s="197" customFormat="1" ht="12" customHeight="1">
      <c r="B32" s="197" t="str">
        <f>'Name labels'!C15 &amp; " " &amp;$C$14</f>
        <v xml:space="preserve">Load group 5 </v>
      </c>
      <c r="C32" s="198" t="s">
        <v>186</v>
      </c>
      <c r="F32" s="82">
        <f t="shared" si="8"/>
        <v>3.7665152707728709E-2</v>
      </c>
      <c r="I32" s="82">
        <f t="shared" si="7"/>
        <v>6.7371739922156768E-2</v>
      </c>
      <c r="J32" s="82">
        <f t="shared" si="7"/>
        <v>5.2333706738999812E-3</v>
      </c>
      <c r="K32" s="82">
        <f t="shared" si="7"/>
        <v>2.1755302784189252E-2</v>
      </c>
      <c r="L32" s="82">
        <f t="shared" si="7"/>
        <v>0</v>
      </c>
    </row>
    <row r="33" spans="2:12" s="197" customFormat="1" ht="12" customHeight="1">
      <c r="C33" s="198"/>
      <c r="F33" s="167">
        <f t="shared" si="8"/>
        <v>1</v>
      </c>
      <c r="I33" s="167">
        <f>SUM(I27:I32)</f>
        <v>1</v>
      </c>
      <c r="J33" s="167">
        <f t="shared" ref="J33:L33" si="9">SUM(J27:J32)</f>
        <v>1</v>
      </c>
      <c r="K33" s="167">
        <f t="shared" si="9"/>
        <v>0.99999999999999989</v>
      </c>
      <c r="L33" s="167">
        <f t="shared" si="9"/>
        <v>1</v>
      </c>
    </row>
    <row r="34" spans="2:12" s="197" customFormat="1" ht="12" customHeight="1">
      <c r="B34" s="200"/>
      <c r="C34" s="200"/>
      <c r="D34" s="200"/>
      <c r="E34" s="200"/>
      <c r="F34" s="200"/>
      <c r="G34" s="200"/>
      <c r="H34" s="200"/>
    </row>
    <row r="35" spans="2:12" s="197" customFormat="1" ht="12" customHeight="1"/>
    <row r="36" spans="2:12" s="197" customFormat="1" ht="12" customHeight="1">
      <c r="C36" s="198"/>
      <c r="I36" s="204"/>
    </row>
    <row r="37" spans="2:12" ht="12" customHeight="1">
      <c r="B37" s="160" t="str">
        <f>B16</f>
        <v>Load group Streetlighting</v>
      </c>
      <c r="C37" s="77" t="s">
        <v>205</v>
      </c>
      <c r="D37" s="77"/>
      <c r="E37" s="77"/>
      <c r="F37" s="77" t="s">
        <v>7</v>
      </c>
      <c r="G37" s="75"/>
      <c r="H37" s="75"/>
      <c r="I37" s="75" t="str">
        <f>I3</f>
        <v>Dunedin</v>
      </c>
      <c r="J37" s="75" t="str">
        <f>J3</f>
        <v>Central Otago</v>
      </c>
      <c r="K37" s="75" t="str">
        <f>K3</f>
        <v>Queenstown</v>
      </c>
      <c r="L37" s="75" t="str">
        <f>L3</f>
        <v>Te Anau</v>
      </c>
    </row>
    <row r="39" spans="2:12" ht="12" customHeight="1">
      <c r="B39" s="161" t="s">
        <v>141</v>
      </c>
    </row>
    <row r="40" spans="2:12" ht="12" customHeight="1">
      <c r="B40" s="70" t="str">
        <f>'Asset Mapping'!B12</f>
        <v>33KV Lines</v>
      </c>
      <c r="C40" s="100" t="str">
        <f>'Asset Mapping'!D12</f>
        <v>HV - CPD</v>
      </c>
      <c r="F40" s="87">
        <f t="shared" ref="F40:F48" si="10">SUM(I40:L40)</f>
        <v>0</v>
      </c>
      <c r="I40" s="205" cm="1">
        <f t="array" ref="I40">INDEX('Asset Mapping'!$G$110:$G$112,MATCH($C40,'Asset Mapping'!$B$110:$B$112,0),0)*'Allocator Data'!I170</f>
        <v>0</v>
      </c>
      <c r="J40" s="205" cm="1">
        <f t="array" ref="J40">INDEX('Asset Mapping'!$H$110:$H$112,MATCH($C40,'Asset Mapping'!$B$110:$B$112,0),0)*'Allocator Data'!J170</f>
        <v>0</v>
      </c>
      <c r="K40" s="205" cm="1">
        <f t="array" ref="K40">INDEX('Asset Mapping'!$I$110:$I$112,MATCH($C40,'Asset Mapping'!$B$110:$B$112,0),0)*'Allocator Data'!K170</f>
        <v>0</v>
      </c>
      <c r="L40" s="205" cm="1">
        <f t="array" ref="L40">INDEX('Asset Mapping'!$J$110:$J$112,MATCH($C40,'Asset Mapping'!$B$110:$B$112,0),0)*'Allocator Data'!L170</f>
        <v>0</v>
      </c>
    </row>
    <row r="41" spans="2:12" ht="12" customHeight="1">
      <c r="B41" s="70" t="str">
        <f>'Asset Mapping'!B13</f>
        <v>33KV Cables</v>
      </c>
      <c r="C41" s="100" t="str">
        <f>'Asset Mapping'!D13</f>
        <v>HV - CPD</v>
      </c>
      <c r="F41" s="87">
        <f t="shared" si="10"/>
        <v>0</v>
      </c>
      <c r="I41" s="205" cm="1">
        <f t="array" ref="I41">INDEX('Asset Mapping'!$G$110:$G$112,MATCH($C41,'Asset Mapping'!$B$110:$B$112,0),0)*'Allocator Data'!I171</f>
        <v>0</v>
      </c>
      <c r="J41" s="205" cm="1">
        <f t="array" ref="J41">INDEX('Asset Mapping'!$H$110:$H$112,MATCH($C41,'Asset Mapping'!$B$110:$B$112,0),0)*'Allocator Data'!J171</f>
        <v>0</v>
      </c>
      <c r="K41" s="205" cm="1">
        <f t="array" ref="K41">INDEX('Asset Mapping'!$I$110:$I$112,MATCH($C41,'Asset Mapping'!$B$110:$B$112,0),0)*'Allocator Data'!K171</f>
        <v>0</v>
      </c>
      <c r="L41" s="205" cm="1">
        <f t="array" ref="L41">INDEX('Asset Mapping'!$J$110:$J$112,MATCH($C41,'Asset Mapping'!$B$110:$B$112,0),0)*'Allocator Data'!L171</f>
        <v>0</v>
      </c>
    </row>
    <row r="42" spans="2:12" ht="12" customHeight="1">
      <c r="B42" s="70" t="str">
        <f>'Asset Mapping'!B14</f>
        <v>Zone Subs</v>
      </c>
      <c r="C42" s="100" t="str">
        <f>'Asset Mapping'!D14</f>
        <v>LV - CPD</v>
      </c>
      <c r="F42" s="87">
        <f t="shared" si="10"/>
        <v>16268.456545353338</v>
      </c>
      <c r="I42" s="205" cm="1">
        <f t="array" ref="I42">INDEX('Asset Mapping'!$G$110:$G$112,MATCH($C42,'Asset Mapping'!$B$110:$B$112,0),0)*'Allocator Data'!I172</f>
        <v>6700.0275242213411</v>
      </c>
      <c r="J42" s="205" cm="1">
        <f t="array" ref="J42">INDEX('Asset Mapping'!$H$110:$H$112,MATCH($C42,'Asset Mapping'!$B$110:$B$112,0),0)*'Allocator Data'!J172</f>
        <v>5840.6510250788115</v>
      </c>
      <c r="K42" s="205" cm="1">
        <f t="array" ref="K42">INDEX('Asset Mapping'!$I$110:$I$112,MATCH($C42,'Asset Mapping'!$B$110:$B$112,0),0)*'Allocator Data'!K172</f>
        <v>3727.7779960531866</v>
      </c>
      <c r="L42" s="205" cm="1">
        <f t="array" ref="L42">INDEX('Asset Mapping'!$J$110:$J$112,MATCH($C42,'Asset Mapping'!$B$110:$B$112,0),0)*'Allocator Data'!L172</f>
        <v>0</v>
      </c>
    </row>
    <row r="43" spans="2:12" ht="12" customHeight="1">
      <c r="B43" s="70" t="str">
        <f>'Asset Mapping'!B15</f>
        <v>HV lines</v>
      </c>
      <c r="C43" s="100" t="str">
        <f>'Asset Mapping'!D15</f>
        <v>HV - CPD</v>
      </c>
      <c r="F43" s="87">
        <f t="shared" si="10"/>
        <v>0</v>
      </c>
      <c r="I43" s="205" cm="1">
        <f t="array" ref="I43">INDEX('Asset Mapping'!$G$110:$G$112,MATCH($C43,'Asset Mapping'!$B$110:$B$112,0),0)*'Allocator Data'!I173</f>
        <v>0</v>
      </c>
      <c r="J43" s="205" cm="1">
        <f t="array" ref="J43">INDEX('Asset Mapping'!$H$110:$H$112,MATCH($C43,'Asset Mapping'!$B$110:$B$112,0),0)*'Allocator Data'!J173</f>
        <v>0</v>
      </c>
      <c r="K43" s="205" cm="1">
        <f t="array" ref="K43">INDEX('Asset Mapping'!$I$110:$I$112,MATCH($C43,'Asset Mapping'!$B$110:$B$112,0),0)*'Allocator Data'!K173</f>
        <v>0</v>
      </c>
      <c r="L43" s="205" cm="1">
        <f t="array" ref="L43">INDEX('Asset Mapping'!$J$110:$J$112,MATCH($C43,'Asset Mapping'!$B$110:$B$112,0),0)*'Allocator Data'!L173</f>
        <v>0</v>
      </c>
    </row>
    <row r="44" spans="2:12" ht="12" customHeight="1">
      <c r="B44" s="70" t="str">
        <f>'Asset Mapping'!B16</f>
        <v>LV lines</v>
      </c>
      <c r="C44" s="100" t="str">
        <f>'Asset Mapping'!D16</f>
        <v>LV - CPD</v>
      </c>
      <c r="F44" s="87">
        <f t="shared" si="10"/>
        <v>7484.1144581539329</v>
      </c>
      <c r="I44" s="205" cm="1">
        <f t="array" ref="I44">INDEX('Asset Mapping'!$G$110:$G$112,MATCH($C44,'Asset Mapping'!$B$110:$B$112,0),0)*'Allocator Data'!I174</f>
        <v>5946.1288255024056</v>
      </c>
      <c r="J44" s="205" cm="1">
        <f t="array" ref="J44">INDEX('Asset Mapping'!$H$110:$H$112,MATCH($C44,'Asset Mapping'!$B$110:$B$112,0),0)*'Allocator Data'!J174</f>
        <v>1030.9871748246164</v>
      </c>
      <c r="K44" s="205" cm="1">
        <f t="array" ref="K44">INDEX('Asset Mapping'!$I$110:$I$112,MATCH($C44,'Asset Mapping'!$B$110:$B$112,0),0)*'Allocator Data'!K174</f>
        <v>506.99845782691176</v>
      </c>
      <c r="L44" s="205" cm="1">
        <f t="array" ref="L44">INDEX('Asset Mapping'!$J$110:$J$112,MATCH($C44,'Asset Mapping'!$B$110:$B$112,0),0)*'Allocator Data'!L174</f>
        <v>0</v>
      </c>
    </row>
    <row r="45" spans="2:12" ht="12" customHeight="1">
      <c r="B45" s="70" t="str">
        <f>'Asset Mapping'!B17</f>
        <v>HV cables</v>
      </c>
      <c r="C45" s="100" t="str">
        <f>'Asset Mapping'!D17</f>
        <v>HV - CPD</v>
      </c>
      <c r="F45" s="87">
        <f t="shared" si="10"/>
        <v>0</v>
      </c>
      <c r="I45" s="205" cm="1">
        <f t="array" ref="I45">INDEX('Asset Mapping'!$G$110:$G$112,MATCH($C45,'Asset Mapping'!$B$110:$B$112,0),0)*'Allocator Data'!I175</f>
        <v>0</v>
      </c>
      <c r="J45" s="205" cm="1">
        <f t="array" ref="J45">INDEX('Asset Mapping'!$H$110:$H$112,MATCH($C45,'Asset Mapping'!$B$110:$B$112,0),0)*'Allocator Data'!J175</f>
        <v>0</v>
      </c>
      <c r="K45" s="205" cm="1">
        <f t="array" ref="K45">INDEX('Asset Mapping'!$I$110:$I$112,MATCH($C45,'Asset Mapping'!$B$110:$B$112,0),0)*'Allocator Data'!K175</f>
        <v>0</v>
      </c>
      <c r="L45" s="205" cm="1">
        <f t="array" ref="L45">INDEX('Asset Mapping'!$J$110:$J$112,MATCH($C45,'Asset Mapping'!$B$110:$B$112,0),0)*'Allocator Data'!L175</f>
        <v>0</v>
      </c>
    </row>
    <row r="46" spans="2:12" ht="12" customHeight="1">
      <c r="B46" s="70" t="str">
        <f>'Asset Mapping'!B18</f>
        <v>LV cables</v>
      </c>
      <c r="C46" s="100" t="str">
        <f>'Asset Mapping'!D18</f>
        <v>LV - CPD</v>
      </c>
      <c r="F46" s="87">
        <f t="shared" si="10"/>
        <v>20186.787504388642</v>
      </c>
      <c r="I46" s="205" cm="1">
        <f t="array" ref="I46">INDEX('Asset Mapping'!$G$110:$G$112,MATCH($C46,'Asset Mapping'!$B$110:$B$112,0),0)*'Allocator Data'!I176</f>
        <v>1916.7853811100383</v>
      </c>
      <c r="J46" s="205" cm="1">
        <f t="array" ref="J46">INDEX('Asset Mapping'!$H$110:$H$112,MATCH($C46,'Asset Mapping'!$B$110:$B$112,0),0)*'Allocator Data'!J176</f>
        <v>3336.9996313153456</v>
      </c>
      <c r="K46" s="205" cm="1">
        <f t="array" ref="K46">INDEX('Asset Mapping'!$I$110:$I$112,MATCH($C46,'Asset Mapping'!$B$110:$B$112,0),0)*'Allocator Data'!K176</f>
        <v>3028.9756145840925</v>
      </c>
      <c r="L46" s="205" cm="1">
        <f t="array" ref="L46">INDEX('Asset Mapping'!$J$110:$J$112,MATCH($C46,'Asset Mapping'!$B$110:$B$112,0),0)*'Allocator Data'!L176</f>
        <v>11904.026877379165</v>
      </c>
    </row>
    <row r="47" spans="2:12" ht="12" customHeight="1">
      <c r="B47" s="70" t="str">
        <f>'Asset Mapping'!B19</f>
        <v>Dist Subs</v>
      </c>
      <c r="C47" s="100" t="str">
        <f>'Asset Mapping'!D19</f>
        <v>LV - CPD</v>
      </c>
      <c r="F47" s="87">
        <f t="shared" si="10"/>
        <v>17616.590057386868</v>
      </c>
      <c r="I47" s="205" cm="1">
        <f t="array" ref="I47">INDEX('Asset Mapping'!$G$110:$G$112,MATCH($C47,'Asset Mapping'!$B$110:$B$112,0),0)*'Allocator Data'!I177</f>
        <v>5507.0809932359707</v>
      </c>
      <c r="J47" s="205" cm="1">
        <f t="array" ref="J47">INDEX('Asset Mapping'!$H$110:$H$112,MATCH($C47,'Asset Mapping'!$B$110:$B$112,0),0)*'Allocator Data'!J177</f>
        <v>7217.3841054495924</v>
      </c>
      <c r="K47" s="205" cm="1">
        <f t="array" ref="K47">INDEX('Asset Mapping'!$I$110:$I$112,MATCH($C47,'Asset Mapping'!$B$110:$B$112,0),0)*'Allocator Data'!K177</f>
        <v>4892.1249587013044</v>
      </c>
      <c r="L47" s="205" cm="1">
        <f t="array" ref="L47">INDEX('Asset Mapping'!$J$110:$J$112,MATCH($C47,'Asset Mapping'!$B$110:$B$112,0),0)*'Allocator Data'!L177</f>
        <v>0</v>
      </c>
    </row>
    <row r="48" spans="2:12" ht="12" customHeight="1">
      <c r="B48" s="70" t="str">
        <f>'Asset Mapping'!B20</f>
        <v>Network Posting</v>
      </c>
      <c r="C48" s="100" t="str">
        <f>'Asset Mapping'!D20</f>
        <v>Shared - CPD</v>
      </c>
      <c r="F48" s="87">
        <f t="shared" si="10"/>
        <v>6551.2313853340183</v>
      </c>
      <c r="I48" s="205" cm="1">
        <f t="array" ref="I48">INDEX('Asset Mapping'!$G$110:$G$112,MATCH($C48,'Asset Mapping'!$B$110:$B$112,0),0)*'Allocator Data'!I178</f>
        <v>3441.440314991883</v>
      </c>
      <c r="J48" s="205" cm="1">
        <f t="array" ref="J48">INDEX('Asset Mapping'!$H$110:$H$112,MATCH($C48,'Asset Mapping'!$B$110:$B$112,0),0)*'Allocator Data'!J178</f>
        <v>1805.5517655544209</v>
      </c>
      <c r="K48" s="205" cm="1">
        <f t="array" ref="K48">INDEX('Asset Mapping'!$I$110:$I$112,MATCH($C48,'Asset Mapping'!$B$110:$B$112,0),0)*'Allocator Data'!K178</f>
        <v>1304.2393047877142</v>
      </c>
      <c r="L48" s="205" cm="1">
        <f t="array" ref="L48">INDEX('Asset Mapping'!$J$110:$J$112,MATCH($C48,'Asset Mapping'!$B$110:$B$112,0),0)*'Allocator Data'!L178</f>
        <v>0</v>
      </c>
    </row>
    <row r="49" spans="2:12" ht="12" customHeight="1">
      <c r="B49" s="70" t="str">
        <f>'Asset Mapping'!B21</f>
        <v>System Control</v>
      </c>
      <c r="C49" s="100" t="str">
        <f>'Asset Mapping'!D21</f>
        <v>HV - CPD</v>
      </c>
      <c r="F49" s="87">
        <f>SUM(I49:L49)</f>
        <v>0</v>
      </c>
      <c r="I49" s="205" cm="1">
        <f t="array" ref="I49">INDEX('Asset Mapping'!$G$110:$G$112,MATCH($C49,'Asset Mapping'!$B$110:$B$112,0),0)*'Allocator Data'!I179</f>
        <v>0</v>
      </c>
      <c r="J49" s="205" cm="1">
        <f t="array" ref="J49">INDEX('Asset Mapping'!$H$110:$H$112,MATCH($C49,'Asset Mapping'!$B$110:$B$112,0),0)*'Allocator Data'!J179</f>
        <v>0</v>
      </c>
      <c r="K49" s="205" cm="1">
        <f t="array" ref="K49">INDEX('Asset Mapping'!$I$110:$I$112,MATCH($C49,'Asset Mapping'!$B$110:$B$112,0),0)*'Allocator Data'!K179</f>
        <v>0</v>
      </c>
      <c r="L49" s="205" cm="1">
        <f t="array" ref="L49">INDEX('Asset Mapping'!$J$110:$J$112,MATCH($C49,'Asset Mapping'!$B$110:$B$112,0),0)*'Allocator Data'!L179</f>
        <v>0</v>
      </c>
    </row>
    <row r="50" spans="2:12" ht="12" customHeight="1">
      <c r="F50" s="88">
        <f>SUM(F40:F49)</f>
        <v>68107.179950616803</v>
      </c>
      <c r="I50" s="88">
        <f>SUM(I40:I49)</f>
        <v>23511.46303906164</v>
      </c>
      <c r="J50" s="88">
        <f t="shared" ref="J50:L50" si="11">SUM(J40:J49)</f>
        <v>19231.573702222788</v>
      </c>
      <c r="K50" s="88">
        <f t="shared" si="11"/>
        <v>13460.11633195321</v>
      </c>
      <c r="L50" s="88">
        <f t="shared" si="11"/>
        <v>11904.026877379165</v>
      </c>
    </row>
    <row r="51" spans="2:12" ht="12" customHeight="1">
      <c r="F51" s="88"/>
      <c r="I51" s="88"/>
      <c r="J51" s="88"/>
      <c r="K51" s="88"/>
      <c r="L51" s="88"/>
    </row>
    <row r="52" spans="2:12" ht="12" customHeight="1">
      <c r="B52" s="160" t="str">
        <f>B17</f>
        <v>Load group 1 (incl residential)</v>
      </c>
      <c r="C52" s="77" t="s">
        <v>205</v>
      </c>
      <c r="D52" s="77"/>
      <c r="E52" s="77"/>
      <c r="F52" s="77" t="s">
        <v>7</v>
      </c>
      <c r="G52" s="75"/>
      <c r="H52" s="75"/>
      <c r="I52" s="75" t="str">
        <f>I37</f>
        <v>Dunedin</v>
      </c>
      <c r="J52" s="75" t="str">
        <f t="shared" ref="J52:L52" si="12">J37</f>
        <v>Central Otago</v>
      </c>
      <c r="K52" s="75" t="str">
        <f t="shared" si="12"/>
        <v>Queenstown</v>
      </c>
      <c r="L52" s="75" t="str">
        <f t="shared" si="12"/>
        <v>Te Anau</v>
      </c>
    </row>
    <row r="54" spans="2:12" ht="12" customHeight="1">
      <c r="B54" s="161" t="s">
        <v>141</v>
      </c>
    </row>
    <row r="55" spans="2:12" ht="12" customHeight="1">
      <c r="B55" s="70" t="str">
        <f t="shared" ref="B55:C64" si="13">B40</f>
        <v>33KV Lines</v>
      </c>
      <c r="C55" s="100" t="str">
        <f t="shared" si="13"/>
        <v>HV - CPD</v>
      </c>
      <c r="F55" s="87">
        <f t="shared" ref="F55:F63" si="14">SUM(I55:L55)</f>
        <v>0</v>
      </c>
      <c r="I55" s="205" cm="1">
        <f t="array" ref="I55">INDEX('Asset Mapping'!$G$114:$G$116,MATCH($C55,'Asset Mapping'!$B$114:$B$116,0),0)*'Allocator Data'!I170</f>
        <v>0</v>
      </c>
      <c r="J55" s="205" cm="1">
        <f t="array" ref="J55">INDEX('Asset Mapping'!$H$114:$H$116,MATCH($C55,'Asset Mapping'!$B$114:$B$116,0),0)*'Allocator Data'!J170</f>
        <v>0</v>
      </c>
      <c r="K55" s="205" cm="1">
        <f t="array" ref="K55">INDEX('Asset Mapping'!$I$114:$I$116,MATCH($C55,'Asset Mapping'!$B$114:$B$116,0),0)*'Allocator Data'!K170</f>
        <v>0</v>
      </c>
      <c r="L55" s="205" cm="1">
        <f t="array" ref="L55">INDEX('Asset Mapping'!$J$114:$J$116,MATCH($C55,'Asset Mapping'!$B$114:$B$116,0),0)*'Allocator Data'!L170</f>
        <v>0</v>
      </c>
    </row>
    <row r="56" spans="2:12" ht="12" customHeight="1">
      <c r="B56" s="70" t="str">
        <f t="shared" si="13"/>
        <v>33KV Cables</v>
      </c>
      <c r="C56" s="100" t="str">
        <f t="shared" si="13"/>
        <v>HV - CPD</v>
      </c>
      <c r="F56" s="87">
        <f t="shared" si="14"/>
        <v>0</v>
      </c>
      <c r="I56" s="205" cm="1">
        <f t="array" ref="I56">INDEX('Asset Mapping'!$G$114:$G$116,MATCH($C56,'Asset Mapping'!$B$114:$B$116,0),0)*'Allocator Data'!I171</f>
        <v>0</v>
      </c>
      <c r="J56" s="205" cm="1">
        <f t="array" ref="J56">INDEX('Asset Mapping'!$H$114:$H$116,MATCH($C56,'Asset Mapping'!$B$114:$B$116,0),0)*'Allocator Data'!J171</f>
        <v>0</v>
      </c>
      <c r="K56" s="205" cm="1">
        <f t="array" ref="K56">INDEX('Asset Mapping'!$I$114:$I$116,MATCH($C56,'Asset Mapping'!$B$114:$B$116,0),0)*'Allocator Data'!K171</f>
        <v>0</v>
      </c>
      <c r="L56" s="205" cm="1">
        <f t="array" ref="L56">INDEX('Asset Mapping'!$J$114:$J$116,MATCH($C56,'Asset Mapping'!$B$114:$B$116,0),0)*'Allocator Data'!L171</f>
        <v>0</v>
      </c>
    </row>
    <row r="57" spans="2:12" ht="12" customHeight="1">
      <c r="B57" s="70" t="str">
        <f t="shared" si="13"/>
        <v>Zone Subs</v>
      </c>
      <c r="C57" s="100" t="str">
        <f t="shared" si="13"/>
        <v>LV - CPD</v>
      </c>
      <c r="F57" s="87">
        <f t="shared" si="14"/>
        <v>2634157.8942624205</v>
      </c>
      <c r="I57" s="205" cm="1">
        <f t="array" ref="I57">INDEX('Asset Mapping'!$G$114:$G$116,MATCH($C57,'Asset Mapping'!$B$114:$B$116,0),0)*'Allocator Data'!I172</f>
        <v>1327952.4527184409</v>
      </c>
      <c r="J57" s="205" cm="1">
        <f t="array" ref="J57">INDEX('Asset Mapping'!$H$114:$H$116,MATCH($C57,'Asset Mapping'!$B$114:$B$116,0),0)*'Allocator Data'!J172</f>
        <v>822056.24200950202</v>
      </c>
      <c r="K57" s="205" cm="1">
        <f t="array" ref="K57">INDEX('Asset Mapping'!$I$114:$I$116,MATCH($C57,'Asset Mapping'!$B$114:$B$116,0),0)*'Allocator Data'!K172</f>
        <v>484149.19953447784</v>
      </c>
      <c r="L57" s="205" cm="1">
        <f t="array" ref="L57">INDEX('Asset Mapping'!$J$114:$J$116,MATCH($C57,'Asset Mapping'!$B$114:$B$116,0),0)*'Allocator Data'!L172</f>
        <v>0</v>
      </c>
    </row>
    <row r="58" spans="2:12" ht="12" customHeight="1">
      <c r="B58" s="70" t="str">
        <f t="shared" si="13"/>
        <v>HV lines</v>
      </c>
      <c r="C58" s="100" t="str">
        <f t="shared" si="13"/>
        <v>HV - CPD</v>
      </c>
      <c r="F58" s="87">
        <f t="shared" si="14"/>
        <v>0</v>
      </c>
      <c r="I58" s="205" cm="1">
        <f t="array" ref="I58">INDEX('Asset Mapping'!$G$114:$G$116,MATCH($C58,'Asset Mapping'!$B$114:$B$116,0),0)*'Allocator Data'!I173</f>
        <v>0</v>
      </c>
      <c r="J58" s="205" cm="1">
        <f t="array" ref="J58">INDEX('Asset Mapping'!$H$114:$H$116,MATCH($C58,'Asset Mapping'!$B$114:$B$116,0),0)*'Allocator Data'!J173</f>
        <v>0</v>
      </c>
      <c r="K58" s="205" cm="1">
        <f t="array" ref="K58">INDEX('Asset Mapping'!$I$114:$I$116,MATCH($C58,'Asset Mapping'!$B$114:$B$116,0),0)*'Allocator Data'!K173</f>
        <v>0</v>
      </c>
      <c r="L58" s="205" cm="1">
        <f t="array" ref="L58">INDEX('Asset Mapping'!$J$114:$J$116,MATCH($C58,'Asset Mapping'!$B$114:$B$116,0),0)*'Allocator Data'!L173</f>
        <v>0</v>
      </c>
    </row>
    <row r="59" spans="2:12" ht="12" customHeight="1">
      <c r="B59" s="70" t="str">
        <f t="shared" si="13"/>
        <v>LV lines</v>
      </c>
      <c r="C59" s="100" t="str">
        <f t="shared" si="13"/>
        <v>LV - CPD</v>
      </c>
      <c r="F59" s="87">
        <f t="shared" si="14"/>
        <v>1389484.6446620701</v>
      </c>
      <c r="I59" s="205" cm="1">
        <f t="array" ref="I59">INDEX('Asset Mapping'!$G$114:$G$116,MATCH($C59,'Asset Mapping'!$B$114:$B$116,0),0)*'Allocator Data'!I174</f>
        <v>1178528.9432707836</v>
      </c>
      <c r="J59" s="205" cm="1">
        <f t="array" ref="J59">INDEX('Asset Mapping'!$H$114:$H$116,MATCH($C59,'Asset Mapping'!$B$114:$B$116,0),0)*'Allocator Data'!J174</f>
        <v>145108.7282662777</v>
      </c>
      <c r="K59" s="205" cm="1">
        <f t="array" ref="K59">INDEX('Asset Mapping'!$I$114:$I$116,MATCH($C59,'Asset Mapping'!$B$114:$B$116,0),0)*'Allocator Data'!K174</f>
        <v>65846.973125008983</v>
      </c>
      <c r="L59" s="205" cm="1">
        <f t="array" ref="L59">INDEX('Asset Mapping'!$J$114:$J$116,MATCH($C59,'Asset Mapping'!$B$114:$B$116,0),0)*'Allocator Data'!L174</f>
        <v>0</v>
      </c>
    </row>
    <row r="60" spans="2:12" ht="12" customHeight="1">
      <c r="B60" s="70" t="str">
        <f t="shared" si="13"/>
        <v>HV cables</v>
      </c>
      <c r="C60" s="100" t="str">
        <f t="shared" si="13"/>
        <v>HV - CPD</v>
      </c>
      <c r="F60" s="87">
        <f t="shared" si="14"/>
        <v>0</v>
      </c>
      <c r="I60" s="205" cm="1">
        <f t="array" ref="I60">INDEX('Asset Mapping'!$G$114:$G$116,MATCH($C60,'Asset Mapping'!$B$114:$B$116,0),0)*'Allocator Data'!I175</f>
        <v>0</v>
      </c>
      <c r="J60" s="205" cm="1">
        <f t="array" ref="J60">INDEX('Asset Mapping'!$H$114:$H$116,MATCH($C60,'Asset Mapping'!$B$114:$B$116,0),0)*'Allocator Data'!J175</f>
        <v>0</v>
      </c>
      <c r="K60" s="205" cm="1">
        <f t="array" ref="K60">INDEX('Asset Mapping'!$I$114:$I$116,MATCH($C60,'Asset Mapping'!$B$114:$B$116,0),0)*'Allocator Data'!K175</f>
        <v>0</v>
      </c>
      <c r="L60" s="205" cm="1">
        <f t="array" ref="L60">INDEX('Asset Mapping'!$J$114:$J$116,MATCH($C60,'Asset Mapping'!$B$114:$B$116,0),0)*'Allocator Data'!L175</f>
        <v>0</v>
      </c>
    </row>
    <row r="61" spans="2:12" ht="12" customHeight="1">
      <c r="B61" s="70" t="str">
        <f t="shared" si="13"/>
        <v>LV cables</v>
      </c>
      <c r="C61" s="100" t="str">
        <f t="shared" si="13"/>
        <v>LV - CPD</v>
      </c>
      <c r="F61" s="87">
        <f t="shared" si="14"/>
        <v>1247548.0172447751</v>
      </c>
      <c r="I61" s="205" cm="1">
        <f t="array" ref="I61">INDEX('Asset Mapping'!$G$114:$G$116,MATCH($C61,'Asset Mapping'!$B$114:$B$116,0),0)*'Allocator Data'!I176</f>
        <v>379908.86440063489</v>
      </c>
      <c r="J61" s="205" cm="1">
        <f t="array" ref="J61">INDEX('Asset Mapping'!$H$114:$H$116,MATCH($C61,'Asset Mapping'!$B$114:$B$116,0),0)*'Allocator Data'!J176</f>
        <v>469673.90531078185</v>
      </c>
      <c r="K61" s="205" cm="1">
        <f t="array" ref="K61">INDEX('Asset Mapping'!$I$114:$I$116,MATCH($C61,'Asset Mapping'!$B$114:$B$116,0),0)*'Allocator Data'!K176</f>
        <v>393391.48435421428</v>
      </c>
      <c r="L61" s="205" cm="1">
        <f t="array" ref="L61">INDEX('Asset Mapping'!$J$114:$J$116,MATCH($C61,'Asset Mapping'!$B$114:$B$116,0),0)*'Allocator Data'!L176</f>
        <v>4573.763179144079</v>
      </c>
    </row>
    <row r="62" spans="2:12" ht="12" customHeight="1">
      <c r="B62" s="70" t="str">
        <f t="shared" si="13"/>
        <v>Dist Subs</v>
      </c>
      <c r="C62" s="100" t="str">
        <f t="shared" si="13"/>
        <v>LV - CPD</v>
      </c>
      <c r="F62" s="87">
        <f t="shared" si="14"/>
        <v>2742707.0206112489</v>
      </c>
      <c r="I62" s="205" cm="1">
        <f t="array" ref="I62">INDEX('Asset Mapping'!$G$114:$G$116,MATCH($C62,'Asset Mapping'!$B$114:$B$116,0),0)*'Allocator Data'!I177</f>
        <v>1091509.2043799816</v>
      </c>
      <c r="J62" s="205" cm="1">
        <f t="array" ref="J62">INDEX('Asset Mapping'!$H$114:$H$116,MATCH($C62,'Asset Mapping'!$B$114:$B$116,0),0)*'Allocator Data'!J177</f>
        <v>1015827.7954613706</v>
      </c>
      <c r="K62" s="205" cm="1">
        <f t="array" ref="K62">INDEX('Asset Mapping'!$I$114:$I$116,MATCH($C62,'Asset Mapping'!$B$114:$B$116,0),0)*'Allocator Data'!K177</f>
        <v>635370.02076989668</v>
      </c>
      <c r="L62" s="205" cm="1">
        <f t="array" ref="L62">INDEX('Asset Mapping'!$J$114:$J$116,MATCH($C62,'Asset Mapping'!$B$114:$B$116,0),0)*'Allocator Data'!L177</f>
        <v>0</v>
      </c>
    </row>
    <row r="63" spans="2:12" ht="12" customHeight="1">
      <c r="B63" s="70" t="str">
        <f t="shared" si="13"/>
        <v>Network Posting</v>
      </c>
      <c r="C63" s="100" t="str">
        <f t="shared" si="13"/>
        <v>Shared - CPD</v>
      </c>
      <c r="F63" s="87">
        <f t="shared" si="14"/>
        <v>1105613.208595325</v>
      </c>
      <c r="I63" s="205" cm="1">
        <f t="array" ref="I63">INDEX('Asset Mapping'!$G$114:$G$116,MATCH($C63,'Asset Mapping'!$B$114:$B$116,0),0)*'Allocator Data'!I178</f>
        <v>682097.06462492701</v>
      </c>
      <c r="J63" s="205" cm="1">
        <f t="array" ref="J63">INDEX('Asset Mapping'!$H$114:$H$116,MATCH($C63,'Asset Mapping'!$B$114:$B$116,0),0)*'Allocator Data'!J178</f>
        <v>254126.65347956825</v>
      </c>
      <c r="K63" s="205" cm="1">
        <f t="array" ref="K63">INDEX('Asset Mapping'!$I$114:$I$116,MATCH($C63,'Asset Mapping'!$B$114:$B$116,0),0)*'Allocator Data'!K178</f>
        <v>169389.49049082978</v>
      </c>
      <c r="L63" s="205" cm="1">
        <f t="array" ref="L63">INDEX('Asset Mapping'!$J$114:$J$116,MATCH($C63,'Asset Mapping'!$B$114:$B$116,0),0)*'Allocator Data'!L178</f>
        <v>0</v>
      </c>
    </row>
    <row r="64" spans="2:12" ht="12" customHeight="1">
      <c r="B64" s="70" t="str">
        <f t="shared" si="13"/>
        <v>System Control</v>
      </c>
      <c r="C64" s="100" t="str">
        <f t="shared" si="13"/>
        <v>HV - CPD</v>
      </c>
      <c r="E64" s="88"/>
      <c r="F64" s="87">
        <f>SUM(I64:L64)</f>
        <v>0</v>
      </c>
      <c r="I64" s="205" cm="1">
        <f t="array" ref="I64">INDEX('Asset Mapping'!$G$114:$G$116,MATCH($C64,'Asset Mapping'!$B$114:$B$116,0),0)*'Allocator Data'!I179</f>
        <v>0</v>
      </c>
      <c r="J64" s="205" cm="1">
        <f t="array" ref="J64">INDEX('Asset Mapping'!$H$114:$H$116,MATCH($C64,'Asset Mapping'!$B$114:$B$116,0),0)*'Allocator Data'!J179</f>
        <v>0</v>
      </c>
      <c r="K64" s="205" cm="1">
        <f t="array" ref="K64">INDEX('Asset Mapping'!$I$114:$I$116,MATCH($C64,'Asset Mapping'!$B$114:$B$116,0),0)*'Allocator Data'!K179</f>
        <v>0</v>
      </c>
      <c r="L64" s="205" cm="1">
        <f t="array" ref="L64">INDEX('Asset Mapping'!$J$114:$J$116,MATCH($C64,'Asset Mapping'!$B$114:$B$116,0),0)*'Allocator Data'!L179</f>
        <v>0</v>
      </c>
    </row>
    <row r="65" spans="2:12" ht="12" customHeight="1">
      <c r="F65" s="88">
        <f>SUM(F55:F64)</f>
        <v>9119510.7853758391</v>
      </c>
      <c r="I65" s="88">
        <f>SUM(I55:I64)</f>
        <v>4659996.5293947682</v>
      </c>
      <c r="J65" s="88">
        <f t="shared" ref="J65:L65" si="15">SUM(J55:J64)</f>
        <v>2706793.3245275007</v>
      </c>
      <c r="K65" s="88">
        <f t="shared" si="15"/>
        <v>1748147.1682744275</v>
      </c>
      <c r="L65" s="88">
        <f t="shared" si="15"/>
        <v>4573.763179144079</v>
      </c>
    </row>
    <row r="67" spans="2:12" ht="12" customHeight="1">
      <c r="B67" s="160" t="str">
        <f>B18</f>
        <v>Load group 2</v>
      </c>
      <c r="C67" s="77" t="s">
        <v>205</v>
      </c>
      <c r="D67" s="77"/>
      <c r="E67" s="77"/>
      <c r="F67" s="77" t="s">
        <v>7</v>
      </c>
      <c r="G67" s="75"/>
      <c r="H67" s="75"/>
      <c r="I67" s="75" t="str">
        <f>I52</f>
        <v>Dunedin</v>
      </c>
      <c r="J67" s="75" t="str">
        <f t="shared" ref="J67:L67" si="16">J52</f>
        <v>Central Otago</v>
      </c>
      <c r="K67" s="75" t="str">
        <f t="shared" si="16"/>
        <v>Queenstown</v>
      </c>
      <c r="L67" s="75" t="str">
        <f t="shared" si="16"/>
        <v>Te Anau</v>
      </c>
    </row>
    <row r="69" spans="2:12" ht="12" customHeight="1">
      <c r="B69" s="161" t="s">
        <v>141</v>
      </c>
    </row>
    <row r="70" spans="2:12" ht="12" customHeight="1">
      <c r="B70" s="70" t="str">
        <f t="shared" ref="B70:C79" si="17">B55</f>
        <v>33KV Lines</v>
      </c>
      <c r="C70" s="100" t="str">
        <f t="shared" si="17"/>
        <v>HV - CPD</v>
      </c>
      <c r="F70" s="87">
        <f t="shared" ref="F70:F78" si="18">SUM(I70:L70)</f>
        <v>0</v>
      </c>
      <c r="I70" s="205" cm="1">
        <f t="array" ref="I70">INDEX('Asset Mapping'!$G$118:$G$120,MATCH($C70,'Asset Mapping'!$B$118:$B$120,0),0)*'Allocator Data'!I170</f>
        <v>0</v>
      </c>
      <c r="J70" s="205" cm="1">
        <f t="array" ref="J70">INDEX('Asset Mapping'!$H$118:$H$120,MATCH($C70,'Asset Mapping'!$B$118:$B$120,0),0)*'Allocator Data'!J170</f>
        <v>0</v>
      </c>
      <c r="K70" s="205" cm="1">
        <f t="array" ref="K70">INDEX('Asset Mapping'!$I$118:$I$120,MATCH($C70,'Asset Mapping'!$B$118:$B$120,0),0)*'Allocator Data'!K170</f>
        <v>0</v>
      </c>
      <c r="L70" s="205" cm="1">
        <f t="array" ref="L70">INDEX('Asset Mapping'!$J$118:$J$120,MATCH($C70,'Asset Mapping'!$B$118:$B$120,0),0)*'Allocator Data'!L170</f>
        <v>0</v>
      </c>
    </row>
    <row r="71" spans="2:12" ht="12" customHeight="1">
      <c r="B71" s="70" t="str">
        <f t="shared" si="17"/>
        <v>33KV Cables</v>
      </c>
      <c r="C71" s="100" t="str">
        <f t="shared" si="17"/>
        <v>HV - CPD</v>
      </c>
      <c r="F71" s="87">
        <f t="shared" si="18"/>
        <v>0</v>
      </c>
      <c r="I71" s="205" cm="1">
        <f t="array" ref="I71">INDEX('Asset Mapping'!$G$118:$G$120,MATCH($C71,'Asset Mapping'!$B$118:$B$120,0),0)*'Allocator Data'!I171</f>
        <v>0</v>
      </c>
      <c r="J71" s="205" cm="1">
        <f t="array" ref="J71">INDEX('Asset Mapping'!$H$118:$H$120,MATCH($C71,'Asset Mapping'!$B$118:$B$120,0),0)*'Allocator Data'!J171</f>
        <v>0</v>
      </c>
      <c r="K71" s="205" cm="1">
        <f t="array" ref="K71">INDEX('Asset Mapping'!$I$118:$I$120,MATCH($C71,'Asset Mapping'!$B$118:$B$120,0),0)*'Allocator Data'!K171</f>
        <v>0</v>
      </c>
      <c r="L71" s="205" cm="1">
        <f t="array" ref="L71">INDEX('Asset Mapping'!$J$118:$J$120,MATCH($C71,'Asset Mapping'!$B$118:$B$120,0),0)*'Allocator Data'!L171</f>
        <v>0</v>
      </c>
    </row>
    <row r="72" spans="2:12" ht="12" customHeight="1">
      <c r="B72" s="70" t="str">
        <f t="shared" si="17"/>
        <v>Zone Subs</v>
      </c>
      <c r="C72" s="100" t="str">
        <f t="shared" si="17"/>
        <v>LV - CPD</v>
      </c>
      <c r="F72" s="87">
        <f t="shared" si="18"/>
        <v>666516.649192226</v>
      </c>
      <c r="I72" s="205" cm="1">
        <f t="array" ref="I72">INDEX('Asset Mapping'!$G$118:$G$120,MATCH($C72,'Asset Mapping'!$B$118:$B$120,0),0)*'Allocator Data'!I172</f>
        <v>303799.51975733781</v>
      </c>
      <c r="J72" s="205" cm="1">
        <f t="array" ref="J72">INDEX('Asset Mapping'!$H$118:$H$120,MATCH($C72,'Asset Mapping'!$B$118:$B$120,0),0)*'Allocator Data'!J172</f>
        <v>200329.10696541923</v>
      </c>
      <c r="K72" s="205" cm="1">
        <f t="array" ref="K72">INDEX('Asset Mapping'!$I$118:$I$120,MATCH($C72,'Asset Mapping'!$B$118:$B$120,0),0)*'Allocator Data'!K172</f>
        <v>162388.022469469</v>
      </c>
      <c r="L72" s="205" cm="1">
        <f t="array" ref="L72">INDEX('Asset Mapping'!$J$118:$J$120,MATCH($C72,'Asset Mapping'!$B$118:$B$120,0),0)*'Allocator Data'!L172</f>
        <v>0</v>
      </c>
    </row>
    <row r="73" spans="2:12" ht="12" customHeight="1">
      <c r="B73" s="70" t="str">
        <f t="shared" si="17"/>
        <v>HV lines</v>
      </c>
      <c r="C73" s="100" t="str">
        <f t="shared" si="17"/>
        <v>HV - CPD</v>
      </c>
      <c r="F73" s="87">
        <f t="shared" si="18"/>
        <v>0</v>
      </c>
      <c r="I73" s="205" cm="1">
        <f t="array" ref="I73">INDEX('Asset Mapping'!$G$118:$G$120,MATCH($C73,'Asset Mapping'!$B$118:$B$120,0),0)*'Allocator Data'!I173</f>
        <v>0</v>
      </c>
      <c r="J73" s="205" cm="1">
        <f t="array" ref="J73">INDEX('Asset Mapping'!$H$118:$H$120,MATCH($C73,'Asset Mapping'!$B$118:$B$120,0),0)*'Allocator Data'!J173</f>
        <v>0</v>
      </c>
      <c r="K73" s="205" cm="1">
        <f t="array" ref="K73">INDEX('Asset Mapping'!$I$118:$I$120,MATCH($C73,'Asset Mapping'!$B$118:$B$120,0),0)*'Allocator Data'!K173</f>
        <v>0</v>
      </c>
      <c r="L73" s="205" cm="1">
        <f t="array" ref="L73">INDEX('Asset Mapping'!$J$118:$J$120,MATCH($C73,'Asset Mapping'!$B$118:$B$120,0),0)*'Allocator Data'!L173</f>
        <v>0</v>
      </c>
    </row>
    <row r="74" spans="2:12" ht="12" customHeight="1">
      <c r="B74" s="70" t="str">
        <f t="shared" si="17"/>
        <v>LV lines</v>
      </c>
      <c r="C74" s="100" t="str">
        <f t="shared" si="17"/>
        <v>LV - CPD</v>
      </c>
      <c r="F74" s="87">
        <f t="shared" si="18"/>
        <v>327063.08045955782</v>
      </c>
      <c r="I74" s="205" cm="1">
        <f t="array" ref="I74">INDEX('Asset Mapping'!$G$118:$G$120,MATCH($C74,'Asset Mapping'!$B$118:$B$120,0),0)*'Allocator Data'!I174</f>
        <v>269615.47173835407</v>
      </c>
      <c r="J74" s="205" cm="1">
        <f t="array" ref="J74">INDEX('Asset Mapping'!$H$118:$H$120,MATCH($C74,'Asset Mapping'!$B$118:$B$120,0),0)*'Allocator Data'!J174</f>
        <v>35361.938102204796</v>
      </c>
      <c r="K74" s="205" cm="1">
        <f t="array" ref="K74">INDEX('Asset Mapping'!$I$118:$I$120,MATCH($C74,'Asset Mapping'!$B$118:$B$120,0),0)*'Allocator Data'!K174</f>
        <v>22085.670618998956</v>
      </c>
      <c r="L74" s="205" cm="1">
        <f t="array" ref="L74">INDEX('Asset Mapping'!$J$118:$J$120,MATCH($C74,'Asset Mapping'!$B$118:$B$120,0),0)*'Allocator Data'!L174</f>
        <v>0</v>
      </c>
    </row>
    <row r="75" spans="2:12" ht="12" customHeight="1">
      <c r="B75" s="70" t="str">
        <f t="shared" si="17"/>
        <v>HV cables</v>
      </c>
      <c r="C75" s="100" t="str">
        <f t="shared" si="17"/>
        <v>HV - CPD</v>
      </c>
      <c r="F75" s="87">
        <f t="shared" si="18"/>
        <v>0</v>
      </c>
      <c r="I75" s="205" cm="1">
        <f t="array" ref="I75">INDEX('Asset Mapping'!$G$118:$G$120,MATCH($C75,'Asset Mapping'!$B$118:$B$120,0),0)*'Allocator Data'!I175</f>
        <v>0</v>
      </c>
      <c r="J75" s="205" cm="1">
        <f t="array" ref="J75">INDEX('Asset Mapping'!$H$118:$H$120,MATCH($C75,'Asset Mapping'!$B$118:$B$120,0),0)*'Allocator Data'!J175</f>
        <v>0</v>
      </c>
      <c r="K75" s="205" cm="1">
        <f t="array" ref="K75">INDEX('Asset Mapping'!$I$118:$I$120,MATCH($C75,'Asset Mapping'!$B$118:$B$120,0),0)*'Allocator Data'!K175</f>
        <v>0</v>
      </c>
      <c r="L75" s="205" cm="1">
        <f t="array" ref="L75">INDEX('Asset Mapping'!$J$118:$J$120,MATCH($C75,'Asset Mapping'!$B$118:$B$120,0),0)*'Allocator Data'!L175</f>
        <v>0</v>
      </c>
    </row>
    <row r="76" spans="2:12" ht="12" customHeight="1">
      <c r="B76" s="70" t="str">
        <f t="shared" si="17"/>
        <v>LV cables</v>
      </c>
      <c r="C76" s="100" t="str">
        <f t="shared" si="17"/>
        <v>LV - CPD</v>
      </c>
      <c r="F76" s="87">
        <f t="shared" si="18"/>
        <v>333421.22529393615</v>
      </c>
      <c r="I76" s="205" cm="1">
        <f t="array" ref="I76">INDEX('Asset Mapping'!$G$118:$G$120,MATCH($C76,'Asset Mapping'!$B$118:$B$120,0),0)*'Allocator Data'!I176</f>
        <v>86912.848664273319</v>
      </c>
      <c r="J76" s="205" cm="1">
        <f t="array" ref="J76">INDEX('Asset Mapping'!$H$118:$H$120,MATCH($C76,'Asset Mapping'!$B$118:$B$120,0),0)*'Allocator Data'!J176</f>
        <v>114456.10313215313</v>
      </c>
      <c r="K76" s="205" cm="1">
        <f t="array" ref="K76">INDEX('Asset Mapping'!$I$118:$I$120,MATCH($C76,'Asset Mapping'!$B$118:$B$120,0),0)*'Allocator Data'!K176</f>
        <v>131947.06355403291</v>
      </c>
      <c r="L76" s="205" cm="1">
        <f t="array" ref="L76">INDEX('Asset Mapping'!$J$118:$J$120,MATCH($C76,'Asset Mapping'!$B$118:$B$120,0),0)*'Allocator Data'!L176</f>
        <v>105.20994347675624</v>
      </c>
    </row>
    <row r="77" spans="2:12" ht="12" customHeight="1">
      <c r="B77" s="70" t="str">
        <f t="shared" si="17"/>
        <v>Dist Subs</v>
      </c>
      <c r="C77" s="100" t="str">
        <f t="shared" si="17"/>
        <v>LV - CPD</v>
      </c>
      <c r="F77" s="87">
        <f t="shared" si="18"/>
        <v>710366.38933136431</v>
      </c>
      <c r="I77" s="205" cm="1">
        <f t="array" ref="I77">INDEX('Asset Mapping'!$G$118:$G$120,MATCH($C77,'Asset Mapping'!$B$118:$B$120,0),0)*'Allocator Data'!I177</f>
        <v>249707.71462678246</v>
      </c>
      <c r="J77" s="205" cm="1">
        <f t="array" ref="J77">INDEX('Asset Mapping'!$H$118:$H$120,MATCH($C77,'Asset Mapping'!$B$118:$B$120,0),0)*'Allocator Data'!J177</f>
        <v>247549.82043317991</v>
      </c>
      <c r="K77" s="205" cm="1">
        <f t="array" ref="K77">INDEX('Asset Mapping'!$I$118:$I$120,MATCH($C77,'Asset Mapping'!$B$118:$B$120,0),0)*'Allocator Data'!K177</f>
        <v>213108.854271402</v>
      </c>
      <c r="L77" s="205" cm="1">
        <f t="array" ref="L77">INDEX('Asset Mapping'!$J$118:$J$120,MATCH($C77,'Asset Mapping'!$B$118:$B$120,0),0)*'Allocator Data'!L177</f>
        <v>0</v>
      </c>
    </row>
    <row r="78" spans="2:12" ht="12" customHeight="1">
      <c r="B78" s="70" t="str">
        <f t="shared" si="17"/>
        <v>Network Posting</v>
      </c>
      <c r="C78" s="100" t="str">
        <f t="shared" si="17"/>
        <v>Shared - CPD</v>
      </c>
      <c r="F78" s="87">
        <f t="shared" si="18"/>
        <v>274788.89516756381</v>
      </c>
      <c r="I78" s="205" cm="1">
        <f t="array" ref="I78">INDEX('Asset Mapping'!$G$118:$G$120,MATCH($C78,'Asset Mapping'!$B$118:$B$120,0),0)*'Allocator Data'!I178</f>
        <v>156045.31640929062</v>
      </c>
      <c r="J78" s="205" cm="1">
        <f t="array" ref="J78">INDEX('Asset Mapping'!$H$118:$H$120,MATCH($C78,'Asset Mapping'!$B$118:$B$120,0),0)*'Allocator Data'!J178</f>
        <v>61928.810884309314</v>
      </c>
      <c r="K78" s="205" cm="1">
        <f t="array" ref="K78">INDEX('Asset Mapping'!$I$118:$I$120,MATCH($C78,'Asset Mapping'!$B$118:$B$120,0),0)*'Allocator Data'!K178</f>
        <v>56814.76787396385</v>
      </c>
      <c r="L78" s="205" cm="1">
        <f t="array" ref="L78">INDEX('Asset Mapping'!$J$118:$J$120,MATCH($C78,'Asset Mapping'!$B$118:$B$120,0),0)*'Allocator Data'!L178</f>
        <v>0</v>
      </c>
    </row>
    <row r="79" spans="2:12" ht="12" customHeight="1">
      <c r="B79" s="70" t="str">
        <f t="shared" si="17"/>
        <v>System Control</v>
      </c>
      <c r="C79" s="100" t="str">
        <f t="shared" si="17"/>
        <v>HV - CPD</v>
      </c>
      <c r="E79" s="88"/>
      <c r="F79" s="87">
        <f>SUM(I79:L79)</f>
        <v>0</v>
      </c>
      <c r="I79" s="205" cm="1">
        <f t="array" ref="I79">INDEX('Asset Mapping'!$G$118:$G$120,MATCH($C79,'Asset Mapping'!$B$118:$B$120,0),0)*'Allocator Data'!I179</f>
        <v>0</v>
      </c>
      <c r="J79" s="205" cm="1">
        <f t="array" ref="J79">INDEX('Asset Mapping'!$H$118:$H$120,MATCH($C79,'Asset Mapping'!$B$118:$B$120,0),0)*'Allocator Data'!J179</f>
        <v>0</v>
      </c>
      <c r="K79" s="205" cm="1">
        <f t="array" ref="K79">INDEX('Asset Mapping'!$I$118:$I$120,MATCH($C79,'Asset Mapping'!$B$118:$B$120,0),0)*'Allocator Data'!K179</f>
        <v>0</v>
      </c>
      <c r="L79" s="205" cm="1">
        <f t="array" ref="L79">INDEX('Asset Mapping'!$J$118:$J$120,MATCH($C79,'Asset Mapping'!$B$118:$B$120,0),0)*'Allocator Data'!L179</f>
        <v>0</v>
      </c>
    </row>
    <row r="80" spans="2:12" ht="12" customHeight="1">
      <c r="F80" s="88">
        <f>SUM(F70:F79)</f>
        <v>2312156.2394446479</v>
      </c>
      <c r="I80" s="88">
        <f>SUM(I70:I79)</f>
        <v>1066080.8711960383</v>
      </c>
      <c r="J80" s="88">
        <f t="shared" ref="J80:L80" si="19">SUM(J70:J79)</f>
        <v>659625.77951726632</v>
      </c>
      <c r="K80" s="88">
        <f t="shared" si="19"/>
        <v>586344.37878786668</v>
      </c>
      <c r="L80" s="88">
        <f t="shared" si="19"/>
        <v>105.20994347675624</v>
      </c>
    </row>
    <row r="81" spans="2:12" ht="12" customHeight="1">
      <c r="F81" s="88"/>
      <c r="I81" s="88"/>
      <c r="J81" s="88"/>
      <c r="K81" s="88"/>
      <c r="L81" s="88"/>
    </row>
    <row r="82" spans="2:12" ht="12" customHeight="1">
      <c r="B82" s="160" t="str">
        <f>B19</f>
        <v>Load group 3</v>
      </c>
      <c r="C82" s="77" t="s">
        <v>205</v>
      </c>
      <c r="D82" s="77"/>
      <c r="E82" s="77"/>
      <c r="F82" s="77" t="s">
        <v>7</v>
      </c>
      <c r="G82" s="75"/>
      <c r="H82" s="75"/>
      <c r="I82" s="75" t="str">
        <f>I67</f>
        <v>Dunedin</v>
      </c>
      <c r="J82" s="75" t="str">
        <f t="shared" ref="J82:L82" si="20">J67</f>
        <v>Central Otago</v>
      </c>
      <c r="K82" s="75" t="str">
        <f t="shared" si="20"/>
        <v>Queenstown</v>
      </c>
      <c r="L82" s="75" t="str">
        <f t="shared" si="20"/>
        <v>Te Anau</v>
      </c>
    </row>
    <row r="84" spans="2:12" ht="12" customHeight="1">
      <c r="B84" s="161" t="s">
        <v>141</v>
      </c>
    </row>
    <row r="85" spans="2:12" ht="12" customHeight="1">
      <c r="B85" s="70" t="str">
        <f>B70</f>
        <v>33KV Lines</v>
      </c>
      <c r="C85" s="100" t="str">
        <f>C70</f>
        <v>HV - CPD</v>
      </c>
      <c r="F85" s="87">
        <f t="shared" ref="F85:F93" si="21">SUM(I85:L85)</f>
        <v>303035.64025382674</v>
      </c>
      <c r="I85" s="205" cm="1">
        <f t="array" ref="I85">INDEX('Asset Mapping'!$G$122:$G$124,MATCH($C85,'Asset Mapping'!$B$122:$B$124,0),0)*'Allocator Data'!I170</f>
        <v>35238.830955227575</v>
      </c>
      <c r="J85" s="205" cm="1">
        <f t="array" ref="J85">INDEX('Asset Mapping'!$H$122:$H$124,MATCH($C85,'Asset Mapping'!$B$122:$B$124,0),0)*'Allocator Data'!J170</f>
        <v>205313.02728053578</v>
      </c>
      <c r="K85" s="205" cm="1">
        <f t="array" ref="K85">INDEX('Asset Mapping'!$I$122:$I$124,MATCH($C85,'Asset Mapping'!$B$122:$B$124,0),0)*'Allocator Data'!K170</f>
        <v>62483.782018063372</v>
      </c>
      <c r="L85" s="205" cm="1">
        <f t="array" ref="L85">INDEX('Asset Mapping'!$J$122:$J$124,MATCH($C85,'Asset Mapping'!$B$122:$B$124,0),0)*'Allocator Data'!L170</f>
        <v>0</v>
      </c>
    </row>
    <row r="86" spans="2:12" ht="12" customHeight="1">
      <c r="B86" s="70" t="str">
        <f t="shared" ref="B86:C94" si="22">B71</f>
        <v>33KV Cables</v>
      </c>
      <c r="C86" s="100" t="str">
        <f t="shared" si="22"/>
        <v>HV - CPD</v>
      </c>
      <c r="F86" s="87">
        <f t="shared" si="21"/>
        <v>219215.08204173486</v>
      </c>
      <c r="I86" s="205" cm="1">
        <f t="array" ref="I86">INDEX('Asset Mapping'!$G$122:$G$124,MATCH($C86,'Asset Mapping'!$B$122:$B$124,0),0)*'Allocator Data'!I171</f>
        <v>148196.00287896354</v>
      </c>
      <c r="J86" s="205" cm="1">
        <f t="array" ref="J86">INDEX('Asset Mapping'!$H$122:$H$124,MATCH($C86,'Asset Mapping'!$B$122:$B$124,0),0)*'Allocator Data'!J171</f>
        <v>35379.297366798579</v>
      </c>
      <c r="K86" s="205" cm="1">
        <f t="array" ref="K86">INDEX('Asset Mapping'!$I$122:$I$124,MATCH($C86,'Asset Mapping'!$B$122:$B$124,0),0)*'Allocator Data'!K171</f>
        <v>35639.781795972754</v>
      </c>
      <c r="L86" s="205" cm="1">
        <f t="array" ref="L86">INDEX('Asset Mapping'!$J$122:$J$124,MATCH($C86,'Asset Mapping'!$B$122:$B$124,0),0)*'Allocator Data'!L171</f>
        <v>0</v>
      </c>
    </row>
    <row r="87" spans="2:12" ht="12" customHeight="1">
      <c r="B87" s="70" t="str">
        <f t="shared" si="22"/>
        <v>Zone Subs</v>
      </c>
      <c r="C87" s="100" t="str">
        <f t="shared" si="22"/>
        <v>LV - CPD</v>
      </c>
      <c r="F87" s="87">
        <f t="shared" si="21"/>
        <v>0</v>
      </c>
      <c r="I87" s="205" cm="1">
        <f t="array" ref="I87">INDEX('Asset Mapping'!$G$122:$G$124,MATCH($C87,'Asset Mapping'!$B$122:$B$124,0),0)*'Allocator Data'!I172</f>
        <v>0</v>
      </c>
      <c r="J87" s="205" cm="1">
        <f t="array" ref="J87">INDEX('Asset Mapping'!$H$122:$H$124,MATCH($C87,'Asset Mapping'!$B$122:$B$124,0),0)*'Allocator Data'!J172</f>
        <v>0</v>
      </c>
      <c r="K87" s="205" cm="1">
        <f t="array" ref="K87">INDEX('Asset Mapping'!$I$122:$I$124,MATCH($C87,'Asset Mapping'!$B$122:$B$124,0),0)*'Allocator Data'!K172</f>
        <v>0</v>
      </c>
      <c r="L87" s="205" cm="1">
        <f t="array" ref="L87">INDEX('Asset Mapping'!$J$122:$J$124,MATCH($C87,'Asset Mapping'!$B$122:$B$124,0),0)*'Allocator Data'!L172</f>
        <v>0</v>
      </c>
    </row>
    <row r="88" spans="2:12" ht="12" customHeight="1">
      <c r="B88" s="70" t="str">
        <f t="shared" si="22"/>
        <v>HV lines</v>
      </c>
      <c r="C88" s="100" t="str">
        <f t="shared" si="22"/>
        <v>HV - CPD</v>
      </c>
      <c r="F88" s="87">
        <f t="shared" si="21"/>
        <v>1112983.8492261157</v>
      </c>
      <c r="I88" s="205" cm="1">
        <f t="array" ref="I88">INDEX('Asset Mapping'!$G$122:$G$124,MATCH($C88,'Asset Mapping'!$B$122:$B$124,0),0)*'Allocator Data'!I173</f>
        <v>420217.43097078981</v>
      </c>
      <c r="J88" s="205" cm="1">
        <f t="array" ref="J88">INDEX('Asset Mapping'!$H$122:$H$124,MATCH($C88,'Asset Mapping'!$B$122:$B$124,0),0)*'Allocator Data'!J173</f>
        <v>512859.31257907703</v>
      </c>
      <c r="K88" s="205" cm="1">
        <f t="array" ref="K88">INDEX('Asset Mapping'!$I$122:$I$124,MATCH($C88,'Asset Mapping'!$B$122:$B$124,0),0)*'Allocator Data'!K173</f>
        <v>179907.10567624893</v>
      </c>
      <c r="L88" s="205" cm="1">
        <f t="array" ref="L88">INDEX('Asset Mapping'!$J$122:$J$124,MATCH($C88,'Asset Mapping'!$B$122:$B$124,0),0)*'Allocator Data'!L173</f>
        <v>0</v>
      </c>
    </row>
    <row r="89" spans="2:12" ht="12" customHeight="1">
      <c r="B89" s="70" t="str">
        <f t="shared" si="22"/>
        <v>LV lines</v>
      </c>
      <c r="C89" s="100" t="str">
        <f t="shared" si="22"/>
        <v>LV - CPD</v>
      </c>
      <c r="F89" s="87">
        <f t="shared" si="21"/>
        <v>0</v>
      </c>
      <c r="I89" s="205" cm="1">
        <f t="array" ref="I89">INDEX('Asset Mapping'!$G$122:$G$124,MATCH($C89,'Asset Mapping'!$B$122:$B$124,0),0)*'Allocator Data'!I174</f>
        <v>0</v>
      </c>
      <c r="J89" s="205" cm="1">
        <f t="array" ref="J89">INDEX('Asset Mapping'!$H$122:$H$124,MATCH($C89,'Asset Mapping'!$B$122:$B$124,0),0)*'Allocator Data'!J174</f>
        <v>0</v>
      </c>
      <c r="K89" s="205" cm="1">
        <f t="array" ref="K89">INDEX('Asset Mapping'!$I$122:$I$124,MATCH($C89,'Asset Mapping'!$B$122:$B$124,0),0)*'Allocator Data'!K174</f>
        <v>0</v>
      </c>
      <c r="L89" s="205" cm="1">
        <f t="array" ref="L89">INDEX('Asset Mapping'!$J$122:$J$124,MATCH($C89,'Asset Mapping'!$B$122:$B$124,0),0)*'Allocator Data'!L174</f>
        <v>0</v>
      </c>
    </row>
    <row r="90" spans="2:12" ht="12" customHeight="1">
      <c r="B90" s="70" t="str">
        <f t="shared" si="22"/>
        <v>HV cables</v>
      </c>
      <c r="C90" s="100" t="str">
        <f t="shared" si="22"/>
        <v>HV - CPD</v>
      </c>
      <c r="F90" s="87">
        <f t="shared" si="21"/>
        <v>1250109.6368223568</v>
      </c>
      <c r="I90" s="205" cm="1">
        <f t="array" ref="I90">INDEX('Asset Mapping'!$G$122:$G$124,MATCH($C90,'Asset Mapping'!$B$122:$B$124,0),0)*'Allocator Data'!I175</f>
        <v>405454.86060505459</v>
      </c>
      <c r="J90" s="205" cm="1">
        <f t="array" ref="J90">INDEX('Asset Mapping'!$H$122:$H$124,MATCH($C90,'Asset Mapping'!$B$122:$B$124,0),0)*'Allocator Data'!J175</f>
        <v>526266.27095374197</v>
      </c>
      <c r="K90" s="205" cm="1">
        <f t="array" ref="K90">INDEX('Asset Mapping'!$I$122:$I$124,MATCH($C90,'Asset Mapping'!$B$122:$B$124,0),0)*'Allocator Data'!K175</f>
        <v>318388.50526356034</v>
      </c>
      <c r="L90" s="205" cm="1">
        <f t="array" ref="L90">INDEX('Asset Mapping'!$J$122:$J$124,MATCH($C90,'Asset Mapping'!$B$122:$B$124,0),0)*'Allocator Data'!L175</f>
        <v>0</v>
      </c>
    </row>
    <row r="91" spans="2:12" ht="12" customHeight="1">
      <c r="B91" s="70" t="str">
        <f t="shared" si="22"/>
        <v>LV cables</v>
      </c>
      <c r="C91" s="100" t="str">
        <f t="shared" si="22"/>
        <v>LV - CPD</v>
      </c>
      <c r="F91" s="87">
        <f t="shared" si="21"/>
        <v>0</v>
      </c>
      <c r="I91" s="205" cm="1">
        <f t="array" ref="I91">INDEX('Asset Mapping'!$G$122:$G$124,MATCH($C91,'Asset Mapping'!$B$122:$B$124,0),0)*'Allocator Data'!I176</f>
        <v>0</v>
      </c>
      <c r="J91" s="205" cm="1">
        <f t="array" ref="J91">INDEX('Asset Mapping'!$H$122:$H$124,MATCH($C91,'Asset Mapping'!$B$122:$B$124,0),0)*'Allocator Data'!J176</f>
        <v>0</v>
      </c>
      <c r="K91" s="205" cm="1">
        <f t="array" ref="K91">INDEX('Asset Mapping'!$I$122:$I$124,MATCH($C91,'Asset Mapping'!$B$122:$B$124,0),0)*'Allocator Data'!K176</f>
        <v>0</v>
      </c>
      <c r="L91" s="205" cm="1">
        <f t="array" ref="L91">INDEX('Asset Mapping'!$J$122:$J$124,MATCH($C91,'Asset Mapping'!$B$122:$B$124,0),0)*'Allocator Data'!L176</f>
        <v>0</v>
      </c>
    </row>
    <row r="92" spans="2:12" ht="12" customHeight="1">
      <c r="B92" s="70" t="str">
        <f t="shared" si="22"/>
        <v>Dist Subs</v>
      </c>
      <c r="C92" s="100" t="str">
        <f t="shared" si="22"/>
        <v>LV - CPD</v>
      </c>
      <c r="F92" s="87">
        <f t="shared" si="21"/>
        <v>0</v>
      </c>
      <c r="I92" s="205" cm="1">
        <f t="array" ref="I92">INDEX('Asset Mapping'!$G$122:$G$124,MATCH($C92,'Asset Mapping'!$B$122:$B$124,0),0)*'Allocator Data'!I177</f>
        <v>0</v>
      </c>
      <c r="J92" s="205" cm="1">
        <f t="array" ref="J92">INDEX('Asset Mapping'!$H$122:$H$124,MATCH($C92,'Asset Mapping'!$B$122:$B$124,0),0)*'Allocator Data'!J177</f>
        <v>0</v>
      </c>
      <c r="K92" s="205" cm="1">
        <f t="array" ref="K92">INDEX('Asset Mapping'!$I$122:$I$124,MATCH($C92,'Asset Mapping'!$B$122:$B$124,0),0)*'Allocator Data'!K177</f>
        <v>0</v>
      </c>
      <c r="L92" s="205" cm="1">
        <f t="array" ref="L92">INDEX('Asset Mapping'!$J$122:$J$124,MATCH($C92,'Asset Mapping'!$B$122:$B$124,0),0)*'Allocator Data'!L177</f>
        <v>0</v>
      </c>
    </row>
    <row r="93" spans="2:12" ht="12" customHeight="1">
      <c r="B93" s="70" t="str">
        <f t="shared" si="22"/>
        <v>Network Posting</v>
      </c>
      <c r="C93" s="100" t="str">
        <f t="shared" si="22"/>
        <v>Shared - CPD</v>
      </c>
      <c r="F93" s="87">
        <f t="shared" si="21"/>
        <v>138718.12194842912</v>
      </c>
      <c r="I93" s="205" cm="1">
        <f t="array" ref="I93">INDEX('Asset Mapping'!$G$122:$G$124,MATCH($C93,'Asset Mapping'!$B$122:$B$124,0),0)*'Allocator Data'!I178</f>
        <v>94013.264829055028</v>
      </c>
      <c r="J93" s="205" cm="1">
        <f t="array" ref="J93">INDEX('Asset Mapping'!$H$122:$H$124,MATCH($C93,'Asset Mapping'!$B$122:$B$124,0),0)*'Allocator Data'!J178</f>
        <v>26046.424974384066</v>
      </c>
      <c r="K93" s="205" cm="1">
        <f t="array" ref="K93">INDEX('Asset Mapping'!$I$122:$I$124,MATCH($C93,'Asset Mapping'!$B$122:$B$124,0),0)*'Allocator Data'!K178</f>
        <v>18658.432144990038</v>
      </c>
      <c r="L93" s="205" cm="1">
        <f t="array" ref="L93">INDEX('Asset Mapping'!$J$122:$J$124,MATCH($C93,'Asset Mapping'!$B$122:$B$124,0),0)*'Allocator Data'!L178</f>
        <v>0</v>
      </c>
    </row>
    <row r="94" spans="2:12" ht="12" customHeight="1">
      <c r="B94" s="70" t="str">
        <f t="shared" si="22"/>
        <v>System Control</v>
      </c>
      <c r="C94" s="100" t="str">
        <f t="shared" si="22"/>
        <v>HV - CPD</v>
      </c>
      <c r="E94" s="88"/>
      <c r="F94" s="87">
        <f>SUM(I94:L94)</f>
        <v>745680.55098857696</v>
      </c>
      <c r="I94" s="205" cm="1">
        <f t="array" ref="I94">INDEX('Asset Mapping'!$G$122:$G$124,MATCH($C94,'Asset Mapping'!$B$122:$B$124,0),0)*'Allocator Data'!I179</f>
        <v>413879.48736552877</v>
      </c>
      <c r="J94" s="205" cm="1">
        <f t="array" ref="J94">INDEX('Asset Mapping'!$H$122:$H$124,MATCH($C94,'Asset Mapping'!$B$122:$B$124,0),0)*'Allocator Data'!J179</f>
        <v>245274.02529390994</v>
      </c>
      <c r="K94" s="205" cm="1">
        <f t="array" ref="K94">INDEX('Asset Mapping'!$I$122:$I$124,MATCH($C94,'Asset Mapping'!$B$122:$B$124,0),0)*'Allocator Data'!K179</f>
        <v>86527.03832913829</v>
      </c>
      <c r="L94" s="205" cm="1">
        <f t="array" ref="L94">INDEX('Asset Mapping'!$J$122:$J$124,MATCH($C94,'Asset Mapping'!$B$122:$B$124,0),0)*'Allocator Data'!L179</f>
        <v>0</v>
      </c>
    </row>
    <row r="95" spans="2:12" ht="12" customHeight="1">
      <c r="F95" s="88">
        <f>SUM(F85:F94)</f>
        <v>3769742.8812810397</v>
      </c>
      <c r="I95" s="88">
        <f>SUM(I85:I94)</f>
        <v>1516999.8776046191</v>
      </c>
      <c r="J95" s="88">
        <f t="shared" ref="J95:L95" si="23">SUM(J85:J94)</f>
        <v>1551138.3584484474</v>
      </c>
      <c r="K95" s="88">
        <f t="shared" si="23"/>
        <v>701604.64522797382</v>
      </c>
      <c r="L95" s="88">
        <f t="shared" si="23"/>
        <v>0</v>
      </c>
    </row>
    <row r="97" spans="2:12" ht="12" customHeight="1">
      <c r="B97" s="160" t="str">
        <f>B20</f>
        <v>Load group 4</v>
      </c>
      <c r="C97" s="77" t="s">
        <v>205</v>
      </c>
      <c r="D97" s="77"/>
      <c r="E97" s="77"/>
      <c r="F97" s="77" t="s">
        <v>7</v>
      </c>
      <c r="G97" s="75"/>
      <c r="H97" s="75"/>
      <c r="I97" s="75" t="str">
        <f>I82</f>
        <v>Dunedin</v>
      </c>
      <c r="J97" s="75" t="str">
        <f t="shared" ref="J97:L97" si="24">J82</f>
        <v>Central Otago</v>
      </c>
      <c r="K97" s="75" t="str">
        <f t="shared" si="24"/>
        <v>Queenstown</v>
      </c>
      <c r="L97" s="75" t="str">
        <f t="shared" si="24"/>
        <v>Te Anau</v>
      </c>
    </row>
    <row r="99" spans="2:12" ht="12" customHeight="1">
      <c r="B99" s="161" t="s">
        <v>141</v>
      </c>
    </row>
    <row r="100" spans="2:12" ht="12" customHeight="1">
      <c r="B100" s="70" t="str">
        <f>B85</f>
        <v>33KV Lines</v>
      </c>
      <c r="C100" s="100" t="str">
        <f>C85</f>
        <v>HV - CPD</v>
      </c>
      <c r="F100" s="87">
        <f t="shared" ref="F100:F108" si="25">SUM(I100:L100)</f>
        <v>351514.01455544838</v>
      </c>
      <c r="I100" s="205" cm="1">
        <f t="array" ref="I100">INDEX('Asset Mapping'!$G$126:$G$128,MATCH($C100,'Asset Mapping'!$B$126:$B$128,0),0)*'Allocator Data'!I170</f>
        <v>37331.675819545162</v>
      </c>
      <c r="J100" s="205" cm="1">
        <f t="array" ref="J100">INDEX('Asset Mapping'!$H$126:$H$128,MATCH($C100,'Asset Mapping'!$B$126:$B$128,0),0)*'Allocator Data'!J170</f>
        <v>221395.50985672051</v>
      </c>
      <c r="K100" s="205" cm="1">
        <f t="array" ref="K100">INDEX('Asset Mapping'!$I$126:$I$128,MATCH($C100,'Asset Mapping'!$B$126:$B$128,0),0)*'Allocator Data'!K170</f>
        <v>92786.828879182707</v>
      </c>
      <c r="L100" s="205" cm="1">
        <f t="array" ref="L100">INDEX('Asset Mapping'!$J$126:$J$128,MATCH($C100,'Asset Mapping'!$B$126:$B$128,0),0)*'Allocator Data'!L170</f>
        <v>0</v>
      </c>
    </row>
    <row r="101" spans="2:12" ht="12" customHeight="1">
      <c r="B101" s="70" t="str">
        <f t="shared" ref="B101:C109" si="26">B86</f>
        <v>33KV Cables</v>
      </c>
      <c r="C101" s="100" t="str">
        <f t="shared" si="26"/>
        <v>HV - CPD</v>
      </c>
      <c r="F101" s="87">
        <f t="shared" si="25"/>
        <v>248072.19068244364</v>
      </c>
      <c r="I101" s="205" cm="1">
        <f t="array" ref="I101">INDEX('Asset Mapping'!$G$126:$G$128,MATCH($C101,'Asset Mapping'!$B$126:$B$128,0),0)*'Allocator Data'!I171</f>
        <v>156997.40846281202</v>
      </c>
      <c r="J101" s="205" cm="1">
        <f t="array" ref="J101">INDEX('Asset Mapping'!$H$126:$H$128,MATCH($C101,'Asset Mapping'!$B$126:$B$128,0),0)*'Allocator Data'!J171</f>
        <v>38150.611691055965</v>
      </c>
      <c r="K101" s="205" cm="1">
        <f t="array" ref="K101">INDEX('Asset Mapping'!$I$126:$I$128,MATCH($C101,'Asset Mapping'!$B$126:$B$128,0),0)*'Allocator Data'!K171</f>
        <v>52924.170528575662</v>
      </c>
      <c r="L101" s="205" cm="1">
        <f t="array" ref="L101">INDEX('Asset Mapping'!$J$126:$J$128,MATCH($C101,'Asset Mapping'!$B$126:$B$128,0),0)*'Allocator Data'!L171</f>
        <v>0</v>
      </c>
    </row>
    <row r="102" spans="2:12" ht="12" customHeight="1">
      <c r="B102" s="70" t="str">
        <f t="shared" si="26"/>
        <v>Zone Subs</v>
      </c>
      <c r="C102" s="100" t="str">
        <f t="shared" si="26"/>
        <v>LV - CPD</v>
      </c>
      <c r="F102" s="87">
        <f t="shared" si="25"/>
        <v>0</v>
      </c>
      <c r="I102" s="205" cm="1">
        <f t="array" ref="I102">INDEX('Asset Mapping'!$G$126:$G$128,MATCH($C102,'Asset Mapping'!$B$126:$B$128,0),0)*'Allocator Data'!I172</f>
        <v>0</v>
      </c>
      <c r="J102" s="205" cm="1">
        <f t="array" ref="J102">INDEX('Asset Mapping'!$H$126:$H$128,MATCH($C102,'Asset Mapping'!$B$126:$B$128,0),0)*'Allocator Data'!J172</f>
        <v>0</v>
      </c>
      <c r="K102" s="205" cm="1">
        <f t="array" ref="K102">INDEX('Asset Mapping'!$I$126:$I$128,MATCH($C102,'Asset Mapping'!$B$126:$B$128,0),0)*'Allocator Data'!K172</f>
        <v>0</v>
      </c>
      <c r="L102" s="205" cm="1">
        <f t="array" ref="L102">INDEX('Asset Mapping'!$J$126:$J$128,MATCH($C102,'Asset Mapping'!$B$126:$B$128,0),0)*'Allocator Data'!L172</f>
        <v>0</v>
      </c>
    </row>
    <row r="103" spans="2:12" ht="12" customHeight="1">
      <c r="B103" s="70" t="str">
        <f t="shared" si="26"/>
        <v>HV lines</v>
      </c>
      <c r="C103" s="100" t="str">
        <f t="shared" si="26"/>
        <v>HV - CPD</v>
      </c>
      <c r="F103" s="87">
        <f t="shared" si="25"/>
        <v>1265364.1178199246</v>
      </c>
      <c r="I103" s="205" cm="1">
        <f t="array" ref="I103">INDEX('Asset Mapping'!$G$126:$G$128,MATCH($C103,'Asset Mapping'!$B$126:$B$128,0),0)*'Allocator Data'!I173</f>
        <v>445174.27171903494</v>
      </c>
      <c r="J103" s="205" cm="1">
        <f t="array" ref="J103">INDEX('Asset Mapping'!$H$126:$H$128,MATCH($C103,'Asset Mapping'!$B$126:$B$128,0),0)*'Allocator Data'!J173</f>
        <v>553032.36476108548</v>
      </c>
      <c r="K103" s="205" cm="1">
        <f t="array" ref="K103">INDEX('Asset Mapping'!$I$126:$I$128,MATCH($C103,'Asset Mapping'!$B$126:$B$128,0),0)*'Allocator Data'!K173</f>
        <v>267157.48133980407</v>
      </c>
      <c r="L103" s="205" cm="1">
        <f t="array" ref="L103">INDEX('Asset Mapping'!$J$126:$J$128,MATCH($C103,'Asset Mapping'!$B$126:$B$128,0),0)*'Allocator Data'!L173</f>
        <v>0</v>
      </c>
    </row>
    <row r="104" spans="2:12" ht="12" customHeight="1">
      <c r="B104" s="70" t="str">
        <f t="shared" si="26"/>
        <v>LV lines</v>
      </c>
      <c r="C104" s="100" t="str">
        <f t="shared" si="26"/>
        <v>LV - CPD</v>
      </c>
      <c r="F104" s="87">
        <f t="shared" si="25"/>
        <v>0</v>
      </c>
      <c r="I104" s="205" cm="1">
        <f t="array" ref="I104">INDEX('Asset Mapping'!$G$126:$G$128,MATCH($C104,'Asset Mapping'!$B$126:$B$128,0),0)*'Allocator Data'!I174</f>
        <v>0</v>
      </c>
      <c r="J104" s="205" cm="1">
        <f t="array" ref="J104">INDEX('Asset Mapping'!$H$126:$H$128,MATCH($C104,'Asset Mapping'!$B$126:$B$128,0),0)*'Allocator Data'!J174</f>
        <v>0</v>
      </c>
      <c r="K104" s="205" cm="1">
        <f t="array" ref="K104">INDEX('Asset Mapping'!$I$126:$I$128,MATCH($C104,'Asset Mapping'!$B$126:$B$128,0),0)*'Allocator Data'!K174</f>
        <v>0</v>
      </c>
      <c r="L104" s="205" cm="1">
        <f t="array" ref="L104">INDEX('Asset Mapping'!$J$126:$J$128,MATCH($C104,'Asset Mapping'!$B$126:$B$128,0),0)*'Allocator Data'!L174</f>
        <v>0</v>
      </c>
    </row>
    <row r="105" spans="2:12" ht="12" customHeight="1">
      <c r="B105" s="70" t="str">
        <f t="shared" si="26"/>
        <v>HV cables</v>
      </c>
      <c r="C105" s="100" t="str">
        <f t="shared" si="26"/>
        <v>HV - CPD</v>
      </c>
      <c r="F105" s="87">
        <f t="shared" si="25"/>
        <v>1469823.3000221886</v>
      </c>
      <c r="I105" s="205" cm="1">
        <f t="array" ref="I105">INDEX('Asset Mapping'!$G$126:$G$128,MATCH($C105,'Asset Mapping'!$B$126:$B$128,0),0)*'Allocator Data'!I175</f>
        <v>429534.94781929889</v>
      </c>
      <c r="J105" s="205" cm="1">
        <f t="array" ref="J105">INDEX('Asset Mapping'!$H$126:$H$128,MATCH($C105,'Asset Mapping'!$B$126:$B$128,0),0)*'Allocator Data'!J175</f>
        <v>567489.51063391427</v>
      </c>
      <c r="K105" s="205" cm="1">
        <f t="array" ref="K105">INDEX('Asset Mapping'!$I$126:$I$128,MATCH($C105,'Asset Mapping'!$B$126:$B$128,0),0)*'Allocator Data'!K175</f>
        <v>472798.84156897536</v>
      </c>
      <c r="L105" s="205" cm="1">
        <f t="array" ref="L105">INDEX('Asset Mapping'!$J$126:$J$128,MATCH($C105,'Asset Mapping'!$B$126:$B$128,0),0)*'Allocator Data'!L175</f>
        <v>0</v>
      </c>
    </row>
    <row r="106" spans="2:12" ht="12" customHeight="1">
      <c r="B106" s="70" t="str">
        <f t="shared" si="26"/>
        <v>LV cables</v>
      </c>
      <c r="C106" s="100" t="str">
        <f t="shared" si="26"/>
        <v>LV - CPD</v>
      </c>
      <c r="F106" s="87">
        <f t="shared" si="25"/>
        <v>0</v>
      </c>
      <c r="I106" s="205" cm="1">
        <f t="array" ref="I106">INDEX('Asset Mapping'!$G$126:$G$128,MATCH($C106,'Asset Mapping'!$B$126:$B$128,0),0)*'Allocator Data'!I176</f>
        <v>0</v>
      </c>
      <c r="J106" s="205" cm="1">
        <f t="array" ref="J106">INDEX('Asset Mapping'!$H$126:$H$128,MATCH($C106,'Asset Mapping'!$B$126:$B$128,0),0)*'Allocator Data'!J176</f>
        <v>0</v>
      </c>
      <c r="K106" s="205" cm="1">
        <f t="array" ref="K106">INDEX('Asset Mapping'!$I$126:$I$128,MATCH($C106,'Asset Mapping'!$B$126:$B$128,0),0)*'Allocator Data'!K176</f>
        <v>0</v>
      </c>
      <c r="L106" s="205" cm="1">
        <f t="array" ref="L106">INDEX('Asset Mapping'!$J$126:$J$128,MATCH($C106,'Asset Mapping'!$B$126:$B$128,0),0)*'Allocator Data'!L176</f>
        <v>0</v>
      </c>
    </row>
    <row r="107" spans="2:12" ht="12" customHeight="1">
      <c r="B107" s="70" t="str">
        <f t="shared" si="26"/>
        <v>Dist Subs</v>
      </c>
      <c r="C107" s="100" t="str">
        <f t="shared" si="26"/>
        <v>LV - CPD</v>
      </c>
      <c r="F107" s="87">
        <f t="shared" si="25"/>
        <v>0</v>
      </c>
      <c r="I107" s="205" cm="1">
        <f t="array" ref="I107">INDEX('Asset Mapping'!$G$126:$G$128,MATCH($C107,'Asset Mapping'!$B$126:$B$128,0),0)*'Allocator Data'!I177</f>
        <v>0</v>
      </c>
      <c r="J107" s="205" cm="1">
        <f t="array" ref="J107">INDEX('Asset Mapping'!$H$126:$H$128,MATCH($C107,'Asset Mapping'!$B$126:$B$128,0),0)*'Allocator Data'!J177</f>
        <v>0</v>
      </c>
      <c r="K107" s="205" cm="1">
        <f t="array" ref="K107">INDEX('Asset Mapping'!$I$126:$I$128,MATCH($C107,'Asset Mapping'!$B$126:$B$128,0),0)*'Allocator Data'!K177</f>
        <v>0</v>
      </c>
      <c r="L107" s="205" cm="1">
        <f t="array" ref="L107">INDEX('Asset Mapping'!$J$126:$J$128,MATCH($C107,'Asset Mapping'!$B$126:$B$128,0),0)*'Allocator Data'!L177</f>
        <v>0</v>
      </c>
    </row>
    <row r="108" spans="2:12" ht="12" customHeight="1">
      <c r="B108" s="70" t="str">
        <f t="shared" si="26"/>
        <v>Network Posting</v>
      </c>
      <c r="C108" s="100" t="str">
        <f t="shared" si="26"/>
        <v>Shared - CPD</v>
      </c>
      <c r="F108" s="87">
        <f t="shared" si="25"/>
        <v>155390.72003944498</v>
      </c>
      <c r="I108" s="205" cm="1">
        <f t="array" ref="I108">INDEX('Asset Mapping'!$G$126:$G$128,MATCH($C108,'Asset Mapping'!$B$126:$B$128,0),0)*'Allocator Data'!I178</f>
        <v>99596.741157347598</v>
      </c>
      <c r="J108" s="205" cm="1">
        <f t="array" ref="J108">INDEX('Asset Mapping'!$H$126:$H$128,MATCH($C108,'Asset Mapping'!$B$126:$B$128,0),0)*'Allocator Data'!J178</f>
        <v>28086.681169379768</v>
      </c>
      <c r="K108" s="205" cm="1">
        <f t="array" ref="K108">INDEX('Asset Mapping'!$I$126:$I$128,MATCH($C108,'Asset Mapping'!$B$126:$B$128,0),0)*'Allocator Data'!K178</f>
        <v>27707.297712717602</v>
      </c>
      <c r="L108" s="205" cm="1">
        <f t="array" ref="L108">INDEX('Asset Mapping'!$J$126:$J$128,MATCH($C108,'Asset Mapping'!$B$126:$B$128,0),0)*'Allocator Data'!L178</f>
        <v>0</v>
      </c>
    </row>
    <row r="109" spans="2:12" ht="12" customHeight="1">
      <c r="B109" s="70" t="str">
        <f t="shared" si="26"/>
        <v>System Control</v>
      </c>
      <c r="C109" s="100" t="str">
        <f t="shared" si="26"/>
        <v>HV - CPD</v>
      </c>
      <c r="E109" s="88"/>
      <c r="F109" s="87">
        <f>SUM(I109:L109)</f>
        <v>831437.08318942797</v>
      </c>
      <c r="I109" s="205" cm="1">
        <f t="array" ref="I109">INDEX('Asset Mapping'!$G$126:$G$128,MATCH($C109,'Asset Mapping'!$B$126:$B$128,0),0)*'Allocator Data'!I179</f>
        <v>438459.91571968916</v>
      </c>
      <c r="J109" s="205" cm="1">
        <f t="array" ref="J109">INDEX('Asset Mapping'!$H$126:$H$128,MATCH($C109,'Asset Mapping'!$B$126:$B$128,0),0)*'Allocator Data'!J179</f>
        <v>264486.71379413916</v>
      </c>
      <c r="K109" s="205" cm="1">
        <f t="array" ref="K109">INDEX('Asset Mapping'!$I$126:$I$128,MATCH($C109,'Asset Mapping'!$B$126:$B$128,0),0)*'Allocator Data'!K179</f>
        <v>128490.45367559965</v>
      </c>
      <c r="L109" s="205" cm="1">
        <f t="array" ref="L109">INDEX('Asset Mapping'!$J$126:$J$128,MATCH($C109,'Asset Mapping'!$B$126:$B$128,0),0)*'Allocator Data'!L179</f>
        <v>0</v>
      </c>
    </row>
    <row r="110" spans="2:12" ht="12" customHeight="1">
      <c r="F110" s="88">
        <f>SUM(F100:F109)</f>
        <v>4321601.4263088778</v>
      </c>
      <c r="I110" s="88">
        <f>SUM(I100:I109)</f>
        <v>1607094.9606977277</v>
      </c>
      <c r="J110" s="88">
        <f t="shared" ref="J110:L110" si="27">SUM(J100:J109)</f>
        <v>1672641.3919062952</v>
      </c>
      <c r="K110" s="88">
        <f t="shared" si="27"/>
        <v>1041865.0737048551</v>
      </c>
      <c r="L110" s="88">
        <f t="shared" si="27"/>
        <v>0</v>
      </c>
    </row>
    <row r="112" spans="2:12" ht="12" customHeight="1">
      <c r="B112" s="160" t="str">
        <f>B21</f>
        <v>Load group 5</v>
      </c>
      <c r="C112" s="77" t="s">
        <v>205</v>
      </c>
      <c r="D112" s="77"/>
      <c r="E112" s="77"/>
      <c r="F112" s="77" t="s">
        <v>7</v>
      </c>
      <c r="G112" s="75"/>
      <c r="H112" s="75"/>
      <c r="I112" s="75" t="str">
        <f>I97</f>
        <v>Dunedin</v>
      </c>
      <c r="J112" s="75" t="str">
        <f t="shared" ref="J112:L112" si="28">J97</f>
        <v>Central Otago</v>
      </c>
      <c r="K112" s="75" t="str">
        <f t="shared" si="28"/>
        <v>Queenstown</v>
      </c>
      <c r="L112" s="75" t="str">
        <f t="shared" si="28"/>
        <v>Te Anau</v>
      </c>
    </row>
    <row r="114" spans="2:12" ht="12" customHeight="1">
      <c r="B114" s="161" t="s">
        <v>141</v>
      </c>
    </row>
    <row r="115" spans="2:12" ht="12" customHeight="1">
      <c r="B115" s="70" t="str">
        <f>B100</f>
        <v>33KV Lines</v>
      </c>
      <c r="C115" s="100" t="str">
        <f>C100</f>
        <v>HV - CPD</v>
      </c>
      <c r="F115" s="87">
        <f t="shared" ref="F115:F123" si="29">SUM(I115:L115)</f>
        <v>27596.345190724831</v>
      </c>
      <c r="I115" s="205" cm="1">
        <f t="array" ref="I115">INDEX('Asset Mapping'!$G$130:$G$132,MATCH($C115,'Asset Mapping'!$B$130:$B$132,0),0)*'Allocator Data'!I170</f>
        <v>14890.493225227254</v>
      </c>
      <c r="J115" s="205" cm="1">
        <f t="array" ref="J115">INDEX('Asset Mapping'!$H$130:$H$132,MATCH($C115,'Asset Mapping'!$B$130:$B$132,0),0)*'Allocator Data'!J170</f>
        <v>4602.4628627436514</v>
      </c>
      <c r="K115" s="205" cm="1">
        <f t="array" ref="K115">INDEX('Asset Mapping'!$I$130:$I$132,MATCH($C115,'Asset Mapping'!$B$130:$B$132,0),0)*'Allocator Data'!K170</f>
        <v>8103.389102753923</v>
      </c>
      <c r="L115" s="205" cm="1">
        <f t="array" ref="L115">INDEX('Asset Mapping'!$J$130:$J$132,MATCH($C115,'Asset Mapping'!$B$130:$B$132,0),0)*'Allocator Data'!L170</f>
        <v>0</v>
      </c>
    </row>
    <row r="116" spans="2:12" ht="12" customHeight="1">
      <c r="B116" s="70" t="str">
        <f t="shared" ref="B116:C124" si="30">B101</f>
        <v>33KV Cables</v>
      </c>
      <c r="C116" s="100" t="str">
        <f t="shared" si="30"/>
        <v>HV - CPD</v>
      </c>
      <c r="F116" s="87">
        <f t="shared" si="29"/>
        <v>68036.727275821409</v>
      </c>
      <c r="I116" s="205" cm="1">
        <f t="array" ref="I116">INDEX('Asset Mapping'!$G$130:$G$132,MATCH($C116,'Asset Mapping'!$B$130:$B$132,0),0)*'Allocator Data'!I171</f>
        <v>62621.588658224384</v>
      </c>
      <c r="J116" s="205" cm="1">
        <f t="array" ref="J116">INDEX('Asset Mapping'!$H$130:$H$132,MATCH($C116,'Asset Mapping'!$B$130:$B$132,0),0)*'Allocator Data'!J171</f>
        <v>793.09094214545053</v>
      </c>
      <c r="K116" s="205" cm="1">
        <f t="array" ref="K116">INDEX('Asset Mapping'!$I$130:$I$132,MATCH($C116,'Asset Mapping'!$B$130:$B$132,0),0)*'Allocator Data'!K171</f>
        <v>4622.0476754515839</v>
      </c>
      <c r="L116" s="205" cm="1">
        <f t="array" ref="L116">INDEX('Asset Mapping'!$J$130:$J$132,MATCH($C116,'Asset Mapping'!$B$130:$B$132,0),0)*'Allocator Data'!L171</f>
        <v>0</v>
      </c>
    </row>
    <row r="117" spans="2:12" ht="12" customHeight="1">
      <c r="B117" s="70" t="str">
        <f t="shared" si="30"/>
        <v>Zone Subs</v>
      </c>
      <c r="C117" s="100" t="str">
        <f t="shared" si="30"/>
        <v>LV - CPD</v>
      </c>
      <c r="F117" s="87">
        <f t="shared" si="29"/>
        <v>0</v>
      </c>
      <c r="I117" s="205" cm="1">
        <f t="array" ref="I117">INDEX('Asset Mapping'!$G$130:$G$132,MATCH($C117,'Asset Mapping'!$B$130:$B$132,0),0)*'Allocator Data'!I172</f>
        <v>0</v>
      </c>
      <c r="J117" s="205" cm="1">
        <f t="array" ref="J117">INDEX('Asset Mapping'!$H$130:$H$132,MATCH($C117,'Asset Mapping'!$B$130:$B$132,0),0)*'Allocator Data'!J172</f>
        <v>0</v>
      </c>
      <c r="K117" s="205" cm="1">
        <f t="array" ref="K117">INDEX('Asset Mapping'!$I$130:$I$132,MATCH($C117,'Asset Mapping'!$B$130:$B$132,0),0)*'Allocator Data'!K172</f>
        <v>0</v>
      </c>
      <c r="L117" s="205" cm="1">
        <f t="array" ref="L117">INDEX('Asset Mapping'!$J$130:$J$132,MATCH($C117,'Asset Mapping'!$B$130:$B$132,0),0)*'Allocator Data'!L172</f>
        <v>0</v>
      </c>
    </row>
    <row r="118" spans="2:12" ht="12" customHeight="1">
      <c r="B118" s="70" t="str">
        <f t="shared" si="30"/>
        <v>HV lines</v>
      </c>
      <c r="C118" s="100" t="str">
        <f t="shared" si="30"/>
        <v>HV - CPD</v>
      </c>
      <c r="F118" s="87">
        <f t="shared" si="29"/>
        <v>212395.19337417727</v>
      </c>
      <c r="I118" s="205" cm="1">
        <f t="array" ref="I118">INDEX('Asset Mapping'!$G$130:$G$132,MATCH($C118,'Asset Mapping'!$B$130:$B$132,0),0)*'Allocator Data'!I173</f>
        <v>177566.75347553502</v>
      </c>
      <c r="J118" s="205" cm="1">
        <f t="array" ref="J118">INDEX('Asset Mapping'!$H$130:$H$132,MATCH($C118,'Asset Mapping'!$B$130:$B$132,0),0)*'Allocator Data'!J173</f>
        <v>11496.669116530113</v>
      </c>
      <c r="K118" s="205" cm="1">
        <f t="array" ref="K118">INDEX('Asset Mapping'!$I$130:$I$132,MATCH($C118,'Asset Mapping'!$B$130:$B$132,0),0)*'Allocator Data'!K173</f>
        <v>23331.770782112129</v>
      </c>
      <c r="L118" s="205" cm="1">
        <f t="array" ref="L118">INDEX('Asset Mapping'!$J$130:$J$132,MATCH($C118,'Asset Mapping'!$B$130:$B$132,0),0)*'Allocator Data'!L173</f>
        <v>0</v>
      </c>
    </row>
    <row r="119" spans="2:12" ht="12" customHeight="1">
      <c r="B119" s="70" t="str">
        <f t="shared" si="30"/>
        <v>LV lines</v>
      </c>
      <c r="C119" s="100" t="str">
        <f t="shared" si="30"/>
        <v>LV - CPD</v>
      </c>
      <c r="F119" s="87">
        <f t="shared" si="29"/>
        <v>0</v>
      </c>
      <c r="I119" s="205" cm="1">
        <f t="array" ref="I119">INDEX('Asset Mapping'!$G$130:$G$132,MATCH($C119,'Asset Mapping'!$B$130:$B$132,0),0)*'Allocator Data'!I174</f>
        <v>0</v>
      </c>
      <c r="J119" s="205" cm="1">
        <f t="array" ref="J119">INDEX('Asset Mapping'!$H$130:$H$132,MATCH($C119,'Asset Mapping'!$B$130:$B$132,0),0)*'Allocator Data'!J174</f>
        <v>0</v>
      </c>
      <c r="K119" s="205" cm="1">
        <f t="array" ref="K119">INDEX('Asset Mapping'!$I$130:$I$132,MATCH($C119,'Asset Mapping'!$B$130:$B$132,0),0)*'Allocator Data'!K174</f>
        <v>0</v>
      </c>
      <c r="L119" s="205" cm="1">
        <f t="array" ref="L119">INDEX('Asset Mapping'!$J$130:$J$132,MATCH($C119,'Asset Mapping'!$B$130:$B$132,0),0)*'Allocator Data'!L174</f>
        <v>0</v>
      </c>
    </row>
    <row r="120" spans="2:12" ht="12" customHeight="1">
      <c r="B120" s="70" t="str">
        <f t="shared" si="30"/>
        <v>HV cables</v>
      </c>
      <c r="C120" s="100" t="str">
        <f t="shared" si="30"/>
        <v>HV - CPD</v>
      </c>
      <c r="F120" s="87">
        <f t="shared" si="29"/>
        <v>224417.03311235458</v>
      </c>
      <c r="I120" s="205" cm="1">
        <f t="array" ref="I120">INDEX('Asset Mapping'!$G$130:$G$132,MATCH($C120,'Asset Mapping'!$B$130:$B$132,0),0)*'Allocator Data'!I175</f>
        <v>171328.69312962817</v>
      </c>
      <c r="J120" s="205" cm="1">
        <f t="array" ref="J120">INDEX('Asset Mapping'!$H$130:$H$132,MATCH($C120,'Asset Mapping'!$B$130:$B$132,0),0)*'Allocator Data'!J175</f>
        <v>11797.210338093382</v>
      </c>
      <c r="K120" s="205" cm="1">
        <f t="array" ref="K120">INDEX('Asset Mapping'!$I$130:$I$132,MATCH($C120,'Asset Mapping'!$B$130:$B$132,0),0)*'Allocator Data'!K175</f>
        <v>41291.129644633038</v>
      </c>
      <c r="L120" s="205" cm="1">
        <f t="array" ref="L120">INDEX('Asset Mapping'!$J$130:$J$132,MATCH($C120,'Asset Mapping'!$B$130:$B$132,0),0)*'Allocator Data'!L175</f>
        <v>0</v>
      </c>
    </row>
    <row r="121" spans="2:12" ht="12" customHeight="1">
      <c r="B121" s="70" t="str">
        <f t="shared" si="30"/>
        <v>LV cables</v>
      </c>
      <c r="C121" s="100" t="str">
        <f t="shared" si="30"/>
        <v>LV - CPD</v>
      </c>
      <c r="F121" s="87">
        <f t="shared" si="29"/>
        <v>0</v>
      </c>
      <c r="I121" s="205" cm="1">
        <f t="array" ref="I121">INDEX('Asset Mapping'!$G$130:$G$132,MATCH($C121,'Asset Mapping'!$B$130:$B$132,0),0)*'Allocator Data'!I176</f>
        <v>0</v>
      </c>
      <c r="J121" s="205" cm="1">
        <f t="array" ref="J121">INDEX('Asset Mapping'!$H$130:$H$132,MATCH($C121,'Asset Mapping'!$B$130:$B$132,0),0)*'Allocator Data'!J176</f>
        <v>0</v>
      </c>
      <c r="K121" s="205" cm="1">
        <f t="array" ref="K121">INDEX('Asset Mapping'!$I$130:$I$132,MATCH($C121,'Asset Mapping'!$B$130:$B$132,0),0)*'Allocator Data'!K176</f>
        <v>0</v>
      </c>
      <c r="L121" s="205" cm="1">
        <f t="array" ref="L121">INDEX('Asset Mapping'!$J$130:$J$132,MATCH($C121,'Asset Mapping'!$B$130:$B$132,0),0)*'Allocator Data'!L176</f>
        <v>0</v>
      </c>
    </row>
    <row r="122" spans="2:12" ht="12" customHeight="1">
      <c r="B122" s="70" t="str">
        <f t="shared" si="30"/>
        <v>Dist Subs</v>
      </c>
      <c r="C122" s="100" t="str">
        <f t="shared" si="30"/>
        <v>LV - CPD</v>
      </c>
      <c r="F122" s="87">
        <f t="shared" si="29"/>
        <v>0</v>
      </c>
      <c r="I122" s="205" cm="1">
        <f t="array" ref="I122">INDEX('Asset Mapping'!$G$130:$G$132,MATCH($C122,'Asset Mapping'!$B$130:$B$132,0),0)*'Allocator Data'!I177</f>
        <v>0</v>
      </c>
      <c r="J122" s="205" cm="1">
        <f t="array" ref="J122">INDEX('Asset Mapping'!$H$130:$H$132,MATCH($C122,'Asset Mapping'!$B$130:$B$132,0),0)*'Allocator Data'!J177</f>
        <v>0</v>
      </c>
      <c r="K122" s="205" cm="1">
        <f t="array" ref="K122">INDEX('Asset Mapping'!$I$130:$I$132,MATCH($C122,'Asset Mapping'!$B$130:$B$132,0),0)*'Allocator Data'!K177</f>
        <v>0</v>
      </c>
      <c r="L122" s="205" cm="1">
        <f t="array" ref="L122">INDEX('Asset Mapping'!$J$130:$J$132,MATCH($C122,'Asset Mapping'!$B$130:$B$132,0),0)*'Allocator Data'!L177</f>
        <v>0</v>
      </c>
    </row>
    <row r="123" spans="2:12" ht="12" customHeight="1">
      <c r="B123" s="70" t="str">
        <f t="shared" si="30"/>
        <v>Network Posting</v>
      </c>
      <c r="C123" s="100" t="str">
        <f t="shared" si="30"/>
        <v>Shared - CPD</v>
      </c>
      <c r="F123" s="87">
        <f t="shared" si="29"/>
        <v>42729.82286390286</v>
      </c>
      <c r="I123" s="205" cm="1">
        <f t="array" ref="I123">INDEX('Asset Mapping'!$G$130:$G$132,MATCH($C123,'Asset Mapping'!$B$130:$B$132,0),0)*'Allocator Data'!I178</f>
        <v>39726.172664387668</v>
      </c>
      <c r="J123" s="205" cm="1">
        <f t="array" ref="J123">INDEX('Asset Mapping'!$H$130:$H$132,MATCH($C123,'Asset Mapping'!$B$130:$B$132,0),0)*'Allocator Data'!J178</f>
        <v>583.87772680416833</v>
      </c>
      <c r="K123" s="205" cm="1">
        <f t="array" ref="K123">INDEX('Asset Mapping'!$I$130:$I$132,MATCH($C123,'Asset Mapping'!$B$130:$B$132,0),0)*'Allocator Data'!K178</f>
        <v>2419.7724727110235</v>
      </c>
      <c r="L123" s="205" cm="1">
        <f t="array" ref="L123">INDEX('Asset Mapping'!$J$130:$J$132,MATCH($C123,'Asset Mapping'!$B$130:$B$132,0),0)*'Allocator Data'!L178</f>
        <v>0</v>
      </c>
    </row>
    <row r="124" spans="2:12" ht="12" customHeight="1">
      <c r="B124" s="70" t="str">
        <f t="shared" si="30"/>
        <v>System Control</v>
      </c>
      <c r="C124" s="100" t="str">
        <f t="shared" si="30"/>
        <v>HV - CPD</v>
      </c>
      <c r="E124" s="88"/>
      <c r="F124" s="87">
        <f>SUM(I124:L124)</f>
        <v>191608.36582199484</v>
      </c>
      <c r="I124" s="205" cm="1">
        <f t="array" ref="I124">INDEX('Asset Mapping'!$G$130:$G$132,MATCH($C124,'Asset Mapping'!$B$130:$B$132,0),0)*'Allocator Data'!I179</f>
        <v>174888.59691478193</v>
      </c>
      <c r="J124" s="205" cm="1">
        <f t="array" ref="J124">INDEX('Asset Mapping'!$H$130:$H$132,MATCH($C124,'Asset Mapping'!$B$130:$B$132,0),0)*'Allocator Data'!J179</f>
        <v>5498.2609119508452</v>
      </c>
      <c r="K124" s="205" cm="1">
        <f t="array" ref="K124">INDEX('Asset Mapping'!$I$130:$I$132,MATCH($C124,'Asset Mapping'!$B$130:$B$132,0),0)*'Allocator Data'!K179</f>
        <v>11221.507995262067</v>
      </c>
      <c r="L124" s="205" cm="1">
        <f t="array" ref="L124">INDEX('Asset Mapping'!$J$130:$J$132,MATCH($C124,'Asset Mapping'!$B$130:$B$132,0),0)*'Allocator Data'!L179</f>
        <v>0</v>
      </c>
    </row>
    <row r="125" spans="2:12" ht="12" customHeight="1">
      <c r="F125" s="88">
        <f>SUM(F115:F124)</f>
        <v>766783.48763897584</v>
      </c>
      <c r="I125" s="88">
        <f>SUM(I115:I124)</f>
        <v>641022.2980677844</v>
      </c>
      <c r="J125" s="88">
        <f t="shared" ref="J125:L125" si="31">SUM(J115:J124)</f>
        <v>34771.571898267604</v>
      </c>
      <c r="K125" s="88">
        <f t="shared" si="31"/>
        <v>90989.617672923763</v>
      </c>
      <c r="L125" s="88">
        <f t="shared" si="31"/>
        <v>0</v>
      </c>
    </row>
    <row r="264" ht="12.75" customHeight="1"/>
  </sheetData>
  <sheetProtection algorithmName="SHA-512" hashValue="SO5Em+b8MuqmAkMdFOJaKe/hfxDPTcWSMWI3ctQe0Ki+dO8cW7SjdUgpsfkAnG4KDNL74RtRgviIqlM62Rei6Q==" saltValue="eVIxM4uLiKSrBW1KEA09yQ==" spinCount="100000" sheet="1" objects="1" scenarios="1"/>
  <conditionalFormatting sqref="C23">
    <cfRule type="cellIs" dxfId="45" priority="1" stopIfTrue="1" operator="equal">
      <formula>0</formula>
    </cfRule>
    <cfRule type="cellIs" dxfId="44" priority="2" stopIfTrue="1" operator="notEqual">
      <formula>0</formula>
    </cfRule>
  </conditionalFormatting>
  <pageMargins left="0.7" right="0.7" top="0.75" bottom="0.75" header="0.3" footer="0.3"/>
  <pageSetup paperSize="8"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pageSetUpPr fitToPage="1"/>
  </sheetPr>
  <dimension ref="A2:N308"/>
  <sheetViews>
    <sheetView showGridLines="0" topLeftCell="A148" workbookViewId="0">
      <selection activeCell="P180" sqref="P180"/>
    </sheetView>
  </sheetViews>
  <sheetFormatPr defaultColWidth="9.140625" defaultRowHeight="12" customHeight="1"/>
  <cols>
    <col min="1" max="1" width="2.7109375" style="180" customWidth="1"/>
    <col min="2" max="2" width="46.42578125" style="70" customWidth="1"/>
    <col min="3" max="3" width="11.7109375" style="118" customWidth="1"/>
    <col min="4" max="4" width="32.42578125" style="70" customWidth="1"/>
    <col min="5" max="5" width="14.42578125" style="70" customWidth="1"/>
    <col min="6" max="7" width="2.7109375" style="70" customWidth="1"/>
    <col min="8" max="9" width="11.42578125" style="70" customWidth="1"/>
    <col min="10" max="10" width="12.140625" style="70" customWidth="1"/>
    <col min="11" max="11" width="14.140625" style="70" customWidth="1"/>
    <col min="12" max="14" width="11.42578125" style="70" customWidth="1"/>
    <col min="15" max="15" width="2.7109375" style="70" customWidth="1"/>
    <col min="16" max="39" width="9.140625" style="70" customWidth="1"/>
    <col min="40" max="16384" width="9.140625" style="70"/>
  </cols>
  <sheetData>
    <row r="2" spans="1:14" ht="15" customHeight="1">
      <c r="B2" s="71" t="str">
        <f ca="1">MID(CELL("filename",A1),FIND("]",CELL("filename",A1))+1,255)</f>
        <v>Load Group Allocations</v>
      </c>
    </row>
    <row r="3" spans="1:14" ht="12" customHeight="1">
      <c r="B3" s="72" t="str">
        <f>'Name labels'!B8</f>
        <v>Pricing Area Name</v>
      </c>
      <c r="C3" s="206"/>
      <c r="D3" s="73"/>
      <c r="E3" s="73"/>
      <c r="F3" s="73"/>
      <c r="G3" s="73"/>
      <c r="H3" s="196" t="str">
        <f>'Name labels'!B10</f>
        <v>Dunedin</v>
      </c>
      <c r="I3" s="196" t="str">
        <f>'Name labels'!B11</f>
        <v>Central Otago</v>
      </c>
      <c r="J3" s="74" t="str">
        <f>'Name labels'!B12</f>
        <v>Queenstown</v>
      </c>
      <c r="K3" s="74" t="str">
        <f>'Name labels'!B13</f>
        <v>Te Anau</v>
      </c>
    </row>
    <row r="4" spans="1:14" ht="12" customHeight="1">
      <c r="B4" s="72"/>
      <c r="C4" s="206"/>
      <c r="D4" s="73"/>
      <c r="E4" s="73"/>
      <c r="F4" s="73"/>
      <c r="G4" s="73"/>
      <c r="H4" s="207">
        <v>1</v>
      </c>
      <c r="I4" s="76">
        <v>2</v>
      </c>
      <c r="J4" s="76">
        <v>3</v>
      </c>
      <c r="K4" s="76">
        <v>4</v>
      </c>
    </row>
    <row r="7" spans="1:14" ht="12" customHeight="1">
      <c r="B7" s="208" t="s">
        <v>60</v>
      </c>
      <c r="C7" s="209"/>
      <c r="D7" s="210"/>
      <c r="E7" s="209"/>
    </row>
    <row r="9" spans="1:14" ht="12" customHeight="1">
      <c r="B9" s="78" t="s">
        <v>245</v>
      </c>
    </row>
    <row r="10" spans="1:14" ht="12" customHeight="1">
      <c r="B10" s="78" t="s">
        <v>246</v>
      </c>
    </row>
    <row r="12" spans="1:14" s="214" customFormat="1" ht="24" customHeight="1">
      <c r="A12" s="211"/>
      <c r="B12" s="212" t="str">
        <f>'Name labels'!C$10</f>
        <v>Load group Streetlighting</v>
      </c>
      <c r="C12" s="209" t="s">
        <v>178</v>
      </c>
      <c r="D12" s="210" t="s">
        <v>205</v>
      </c>
      <c r="E12" s="213" t="s">
        <v>98</v>
      </c>
      <c r="L12" s="70"/>
      <c r="M12" s="70"/>
      <c r="N12" s="70"/>
    </row>
    <row r="13" spans="1:14" ht="12" customHeight="1">
      <c r="H13" s="214"/>
    </row>
    <row r="14" spans="1:14" ht="12" customHeight="1">
      <c r="B14" s="161" t="str">
        <f>'Name labels'!C45</f>
        <v>Load Group Allocators</v>
      </c>
    </row>
    <row r="16" spans="1:14" ht="12" customHeight="1">
      <c r="B16" s="70" t="str">
        <f>'Name labels'!C47</f>
        <v>ICP Count</v>
      </c>
      <c r="C16" s="198" t="s">
        <v>6</v>
      </c>
      <c r="H16" s="82">
        <f>'Allocator Data'!I$26</f>
        <v>3.5951824555096173E-5</v>
      </c>
      <c r="I16" s="82">
        <f>'Allocator Data'!J$26</f>
        <v>2.3413720440177945E-4</v>
      </c>
      <c r="J16" s="82">
        <f>'Allocator Data'!K$26</f>
        <v>3.586800573888092E-4</v>
      </c>
      <c r="K16" s="82">
        <f>'Allocator Data'!L$26</f>
        <v>7.2992700729927005E-3</v>
      </c>
    </row>
    <row r="17" spans="1:11" ht="12" customHeight="1">
      <c r="B17" s="70" t="str">
        <f>'Name labels'!C48</f>
        <v>CPD</v>
      </c>
      <c r="C17" s="198" t="s">
        <v>6</v>
      </c>
      <c r="H17" s="82">
        <f>'Allocator Data'!I$66</f>
        <v>3.2015780848731841E-3</v>
      </c>
      <c r="I17" s="82">
        <f>'Allocator Data'!J$66</f>
        <v>4.8461040790235086E-3</v>
      </c>
      <c r="J17" s="82">
        <f>'Allocator Data'!K$66</f>
        <v>4.7204763939416496E-3</v>
      </c>
      <c r="K17" s="82">
        <f>'Allocator Data'!L$66</f>
        <v>0.71784519552428183</v>
      </c>
    </row>
    <row r="18" spans="1:11" ht="12" customHeight="1">
      <c r="B18" s="70" t="str">
        <f>'Name labels'!C49</f>
        <v>Prior year distribution revenue</v>
      </c>
      <c r="C18" s="198" t="s">
        <v>6</v>
      </c>
      <c r="H18" s="82">
        <f>'Allocator Data'!I$114</f>
        <v>9.6378130524840885E-3</v>
      </c>
      <c r="I18" s="82">
        <f>'Allocator Data'!J$114</f>
        <v>4.1378958961364948E-3</v>
      </c>
      <c r="J18" s="82">
        <f>'Allocator Data'!K$114</f>
        <v>3.449127649543908E-3</v>
      </c>
      <c r="K18" s="82">
        <f>'Allocator Data'!L$114</f>
        <v>1.5286072578182491E-2</v>
      </c>
    </row>
    <row r="19" spans="1:11" ht="12" customHeight="1">
      <c r="B19" s="70" t="str">
        <f>'Name labels'!C50</f>
        <v>MWh</v>
      </c>
      <c r="C19" s="198" t="s">
        <v>6</v>
      </c>
      <c r="H19" s="82">
        <f>'Allocator Data'!I$138</f>
        <v>7.9168602069306978E-3</v>
      </c>
      <c r="I19" s="82">
        <f>'Allocator Data'!J$138</f>
        <v>4.1551489161928187E-3</v>
      </c>
      <c r="J19" s="82">
        <f>'Allocator Data'!K$138</f>
        <v>3.8744723038141643E-3</v>
      </c>
      <c r="K19" s="82">
        <f>'Allocator Data'!L$138</f>
        <v>9.8039215686274508E-3</v>
      </c>
    </row>
    <row r="20" spans="1:11" ht="12" customHeight="1">
      <c r="B20" s="70" t="str">
        <f>'Name labels'!C51</f>
        <v>Regulated Asset Base</v>
      </c>
      <c r="C20" s="198" t="s">
        <v>6</v>
      </c>
      <c r="H20" s="82">
        <f>'RAB Allocations'!I$27</f>
        <v>2.503423964177028E-3</v>
      </c>
      <c r="I20" s="82">
        <f>'RAB Allocations'!J$27</f>
        <v>3.0764266436981401E-3</v>
      </c>
      <c r="J20" s="82">
        <f>'RAB Allocations'!K$27</f>
        <v>3.2400414280602309E-3</v>
      </c>
      <c r="K20" s="82">
        <f>'RAB Allocations'!L$27</f>
        <v>0.71784519552428172</v>
      </c>
    </row>
    <row r="21" spans="1:11" ht="12" customHeight="1">
      <c r="B21" s="70" t="str">
        <f>'Name labels'!C52</f>
        <v>Regulated Asset Base (Depreciation)</v>
      </c>
      <c r="C21" s="198"/>
      <c r="H21" s="82">
        <f>'RAB - Depreciation Allocations'!I$27</f>
        <v>2.4710656366115405E-3</v>
      </c>
      <c r="I21" s="82">
        <f>'RAB - Depreciation Allocations'!J$27</f>
        <v>2.8944896169958091E-3</v>
      </c>
      <c r="J21" s="82">
        <f>'RAB - Depreciation Allocations'!K$27</f>
        <v>3.2182672463211309E-3</v>
      </c>
      <c r="K21" s="82">
        <f>'RAB - Depreciation Allocations'!L$27</f>
        <v>0.71784519552428183</v>
      </c>
    </row>
    <row r="23" spans="1:11" ht="12" customHeight="1">
      <c r="B23" s="161" t="str">
        <f>B12&amp;" Allocation"</f>
        <v>Load group Streetlighting Allocation</v>
      </c>
    </row>
    <row r="24" spans="1:11" ht="12" customHeight="1">
      <c r="B24" s="88"/>
    </row>
    <row r="25" spans="1:11" ht="12" customHeight="1">
      <c r="A25" s="180" t="str">
        <f>$B$12</f>
        <v>Load group Streetlighting</v>
      </c>
      <c r="B25" s="70" t="str">
        <f>'Target Revenue'!B17</f>
        <v>Service interruptions and emergencies</v>
      </c>
      <c r="C25" s="118" t="s">
        <v>186</v>
      </c>
      <c r="D25" s="215" t="str">
        <f>'Target Revenue'!E17</f>
        <v>CPD</v>
      </c>
      <c r="E25" s="215" t="str">
        <f>'Target Revenue'!F17</f>
        <v>Distribution</v>
      </c>
      <c r="F25" s="70" t="s">
        <v>206</v>
      </c>
      <c r="H25" s="216">
        <f ca="1">INDEX($H$16:$K$21,MATCH($D25,$B$16:$B$21,0),0)*'Pricing Area Allocations'!H30</f>
        <v>2.4798228919760503</v>
      </c>
      <c r="I25" s="216">
        <f ca="1">INDEX($H$16:$K$21,MATCH($D25,$B$16:$B$21,0),0)*'Pricing Area Allocations'!I30</f>
        <v>4.3537481187094462</v>
      </c>
      <c r="J25" s="216">
        <f ca="1">INDEX($H$16:$K$21,MATCH($D25,$B$16:$B$21,0),0)*'Pricing Area Allocations'!J30</f>
        <v>1.5466031351091716</v>
      </c>
      <c r="K25" s="216">
        <f ca="1">INDEX($H$16:$K$21,MATCH($D25,$B$16:$B$21,0),0)*'Pricing Area Allocations'!K30</f>
        <v>1.3999566000041839</v>
      </c>
    </row>
    <row r="26" spans="1:11" ht="12" customHeight="1">
      <c r="A26" s="180" t="str">
        <f t="shared" ref="A26:A49" si="0">$B$12</f>
        <v>Load group Streetlighting</v>
      </c>
      <c r="B26" s="70" t="str">
        <f>'Target Revenue'!B18</f>
        <v>Service interruptions and emergencies</v>
      </c>
      <c r="C26" s="118" t="s">
        <v>186</v>
      </c>
      <c r="D26" s="215" t="str">
        <f>'Target Revenue'!E18</f>
        <v>ICP Count</v>
      </c>
      <c r="E26" s="215" t="str">
        <f>'Target Revenue'!F18</f>
        <v>Distribution</v>
      </c>
      <c r="F26" s="70" t="s">
        <v>206</v>
      </c>
      <c r="H26" s="216">
        <f ca="1">INDEX($H$16:$K$21,MATCH($D26,$B$16:$B$21,0),0)*'Pricing Area Allocations'!H31</f>
        <v>4.3982158963328355E-2</v>
      </c>
      <c r="I26" s="216">
        <f ca="1">INDEX($H$16:$K$21,MATCH($D26,$B$16:$B$21,0),0)*'Pricing Area Allocations'!I31</f>
        <v>0.1099553974083209</v>
      </c>
      <c r="J26" s="216">
        <f ca="1">VLOOKUP($D26,$B$16:$K$21,9,FALSE)*'Pricing Area Allocations'!J31</f>
        <v>0.1099553974083209</v>
      </c>
      <c r="K26" s="216">
        <f ca="1">INDEX($H$16:$K$21,MATCH($D26,$B$16:$B$21,0),0)*'Pricing Area Allocations'!K31</f>
        <v>2.1991079481664177E-2</v>
      </c>
    </row>
    <row r="27" spans="1:11" ht="12" customHeight="1">
      <c r="A27" s="180" t="str">
        <f t="shared" si="0"/>
        <v>Load group Streetlighting</v>
      </c>
      <c r="B27" s="70" t="str">
        <f>'Target Revenue'!B19</f>
        <v>Vegetation management</v>
      </c>
      <c r="C27" s="118" t="s">
        <v>186</v>
      </c>
      <c r="D27" s="215" t="str">
        <f>'Target Revenue'!E19</f>
        <v>CPD</v>
      </c>
      <c r="E27" s="215" t="str">
        <f>'Target Revenue'!F19</f>
        <v>Distribution</v>
      </c>
      <c r="F27" s="70" t="s">
        <v>206</v>
      </c>
      <c r="H27" s="216">
        <f ca="1">INDEX($H$16:$K$21,MATCH($D27,$B$16:$B$21,0),0)*'Pricing Area Allocations'!H32</f>
        <v>6.1493625672775929</v>
      </c>
      <c r="I27" s="216">
        <f ca="1">INDEX($H$16:$K$21,MATCH($D27,$B$16:$B$21,0),0)*'Pricing Area Allocations'!I32</f>
        <v>9.6208801975512799</v>
      </c>
      <c r="J27" s="216">
        <f ca="1">VLOOKUP($D27,$B$16:$K$21,9,FALSE)*'Pricing Area Allocations'!J32</f>
        <v>2.2078828967440893</v>
      </c>
      <c r="K27" s="216">
        <f ca="1">INDEX($H$16:$K$21,MATCH($D27,$B$16:$B$21,0),0)*'Pricing Area Allocations'!K32</f>
        <v>0</v>
      </c>
    </row>
    <row r="28" spans="1:11" ht="12" customHeight="1">
      <c r="B28" s="70" t="str">
        <f>'Target Revenue'!B20</f>
        <v>Routine and corrective maintenance and inspection</v>
      </c>
      <c r="C28" s="118" t="s">
        <v>186</v>
      </c>
      <c r="D28" s="215" t="str">
        <f>'Target Revenue'!E20</f>
        <v>CPD</v>
      </c>
      <c r="E28" s="215" t="str">
        <f>'Target Revenue'!F20</f>
        <v>Distribution</v>
      </c>
      <c r="F28" s="70" t="s">
        <v>206</v>
      </c>
      <c r="H28" s="216">
        <f ca="1">INDEX($H$16:$K$21,MATCH($D28,$B$16:$B$21,0),0)*'Pricing Area Allocations'!H33</f>
        <v>10.425680033303793</v>
      </c>
      <c r="I28" s="216">
        <f ca="1">INDEX($H$16:$K$21,MATCH($D28,$B$16:$B$21,0),0)*'Pricing Area Allocations'!I33</f>
        <v>18.304042993608032</v>
      </c>
      <c r="J28" s="216">
        <f ca="1">VLOOKUP($D28,$B$16:$K$21,9,FALSE)*'Pricing Area Allocations'!J33</f>
        <v>6.5022342834749756</v>
      </c>
      <c r="K28" s="216">
        <f ca="1">INDEX($H$16:$K$21,MATCH($D28,$B$16:$B$21,0),0)*'Pricing Area Allocations'!K33</f>
        <v>5.885702410193109</v>
      </c>
    </row>
    <row r="29" spans="1:11" ht="12" customHeight="1">
      <c r="B29" s="70" t="str">
        <f>'Target Revenue'!B21</f>
        <v>System operations and network support</v>
      </c>
      <c r="C29" s="118" t="s">
        <v>186</v>
      </c>
      <c r="D29" s="215" t="str">
        <f>'Target Revenue'!E21</f>
        <v>ICP Count</v>
      </c>
      <c r="E29" s="215" t="str">
        <f>'Target Revenue'!F21</f>
        <v>Distribution</v>
      </c>
      <c r="F29" s="70" t="s">
        <v>206</v>
      </c>
      <c r="H29" s="216">
        <f ca="1">INDEX($H$16:$K$21,MATCH($D29,$B$16:$B$21,0),0)*'Pricing Area Allocations'!H34</f>
        <v>0.29259492202835213</v>
      </c>
      <c r="I29" s="216">
        <f ca="1">INDEX($H$16:$K$21,MATCH($D29,$B$16:$B$21,0),0)*'Pricing Area Allocations'!I34</f>
        <v>0.73148730507088044</v>
      </c>
      <c r="J29" s="216">
        <f ca="1">VLOOKUP($D29,$B$16:$K$21,9,FALSE)*'Pricing Area Allocations'!J34</f>
        <v>0.73148730507088044</v>
      </c>
      <c r="K29" s="216">
        <f ca="1">INDEX($H$16:$K$21,MATCH($D29,$B$16:$B$21,0),0)*'Pricing Area Allocations'!K34</f>
        <v>0.14629746101417607</v>
      </c>
    </row>
    <row r="30" spans="1:11" ht="12" customHeight="1">
      <c r="B30" s="70" t="str">
        <f>'Target Revenue'!B22</f>
        <v>Business support</v>
      </c>
      <c r="C30" s="118" t="s">
        <v>186</v>
      </c>
      <c r="D30" s="215" t="str">
        <f>'Target Revenue'!E22</f>
        <v>ICP Count</v>
      </c>
      <c r="E30" s="215" t="str">
        <f>'Target Revenue'!F22</f>
        <v>Distribution</v>
      </c>
      <c r="F30" s="70" t="s">
        <v>206</v>
      </c>
      <c r="H30" s="216">
        <f ca="1">INDEX($H$16:$K$21,MATCH($D30,$B$16:$B$21,0),0)*'Pricing Area Allocations'!H35</f>
        <v>0.29061244770903</v>
      </c>
      <c r="I30" s="216">
        <f ca="1">INDEX($H$16:$K$21,MATCH($D30,$B$16:$B$21,0),0)*'Pricing Area Allocations'!I35</f>
        <v>0.72653111927257485</v>
      </c>
      <c r="J30" s="216">
        <f ca="1">VLOOKUP($D30,$B$16:$K$21,9,FALSE)*'Pricing Area Allocations'!J35</f>
        <v>0.72653111927257497</v>
      </c>
      <c r="K30" s="216">
        <f ca="1">INDEX($H$16:$K$21,MATCH($D30,$B$16:$B$21,0),0)*'Pricing Area Allocations'!K35</f>
        <v>0.14530622385451497</v>
      </c>
    </row>
    <row r="31" spans="1:11" ht="12" customHeight="1">
      <c r="B31" s="70" t="str">
        <f>'Target Revenue'!B23</f>
        <v>Depreciation</v>
      </c>
      <c r="C31" s="118" t="s">
        <v>186</v>
      </c>
      <c r="D31" s="215" t="str">
        <f>'Target Revenue'!E23</f>
        <v>Regulated Asset Base (Depreciation)</v>
      </c>
      <c r="E31" s="215" t="str">
        <f>'Target Revenue'!F23</f>
        <v>Distribution</v>
      </c>
      <c r="F31" s="70" t="s">
        <v>206</v>
      </c>
      <c r="H31" s="216">
        <f ca="1">INDEX($H$16:$K$21,MATCH($D31,$B$16:$B$21,0),0)*'Pricing Area Allocations'!H36</f>
        <v>19.400291707490297</v>
      </c>
      <c r="I31" s="216">
        <f ca="1">INDEX($H$16:$K$21,MATCH($D31,$B$16:$B$21,0),0)*'Pricing Area Allocations'!I36</f>
        <v>15.868775975249207</v>
      </c>
      <c r="J31" s="216">
        <f ca="1">VLOOKUP($D31,$B$16:$K$21,9,FALSE)*'Pricing Area Allocations'!J36</f>
        <v>11.106505061926949</v>
      </c>
      <c r="K31" s="216">
        <f ca="1">INDEX($H$16:$K$21,MATCH($D31,$B$16:$B$21,0),0)*'Pricing Area Allocations'!K36</f>
        <v>9.8225105571387541</v>
      </c>
    </row>
    <row r="32" spans="1:11" ht="12" customHeight="1">
      <c r="B32" s="70" t="str">
        <f>'Target Revenue'!B24</f>
        <v>Asset revaluations and other regulatory revenue</v>
      </c>
      <c r="C32" s="118" t="s">
        <v>186</v>
      </c>
      <c r="D32" s="215" t="str">
        <f>'Target Revenue'!E24</f>
        <v>Regulated Asset Base</v>
      </c>
      <c r="E32" s="215" t="str">
        <f>'Target Revenue'!F24</f>
        <v>Distribution</v>
      </c>
      <c r="F32" s="70" t="s">
        <v>206</v>
      </c>
      <c r="H32" s="216">
        <f ca="1">INDEX($H$16:$K$21,MATCH($D32,$B$16:$B$21,0),0)*'Pricing Area Allocations'!H37</f>
        <v>-12.210595590523535</v>
      </c>
      <c r="I32" s="216">
        <f ca="1">INDEX($H$16:$K$21,MATCH($D32,$B$16:$B$21,0),0)*'Pricing Area Allocations'!I37</f>
        <v>-10.661019971091823</v>
      </c>
      <c r="J32" s="216">
        <f ca="1">VLOOKUP($D32,$B$16:$K$21,9,FALSE)*'Pricing Area Allocations'!J37</f>
        <v>-6.6342135320698077</v>
      </c>
      <c r="K32" s="216">
        <f ca="1">INDEX($H$16:$K$21,MATCH($D32,$B$16:$B$21,0),0)*'Pricing Area Allocations'!K37</f>
        <v>-6.7554220459165357</v>
      </c>
    </row>
    <row r="33" spans="1:11" ht="12" customHeight="1">
      <c r="B33" s="70" t="str">
        <f>'Target Revenue'!B25</f>
        <v>Tax</v>
      </c>
      <c r="C33" s="118" t="s">
        <v>186</v>
      </c>
      <c r="D33" s="215" t="str">
        <f>'Target Revenue'!E25</f>
        <v>Regulated Asset Base</v>
      </c>
      <c r="E33" s="215" t="str">
        <f>'Target Revenue'!F25</f>
        <v>Distribution</v>
      </c>
      <c r="F33" s="70" t="s">
        <v>206</v>
      </c>
      <c r="H33" s="216">
        <f ca="1">INDEX($H$16:$K$21,MATCH($D33,$B$16:$B$21,0),0)*'Pricing Area Allocations'!H38</f>
        <v>5.5510462177021003</v>
      </c>
      <c r="I33" s="216">
        <f ca="1">INDEX($H$16:$K$21,MATCH($D33,$B$16:$B$21,0),0)*'Pricing Area Allocations'!I38</f>
        <v>4.8465952498913651</v>
      </c>
      <c r="J33" s="216">
        <f ca="1">VLOOKUP($D33,$B$16:$K$21,9,FALSE)*'Pricing Area Allocations'!J38</f>
        <v>3.0159729442849583</v>
      </c>
      <c r="K33" s="216">
        <f ca="1">INDEX($H$16:$K$21,MATCH($D33,$B$16:$B$21,0),0)*'Pricing Area Allocations'!K38</f>
        <v>3.0710754212570359</v>
      </c>
    </row>
    <row r="34" spans="1:11" ht="12" customHeight="1">
      <c r="B34" s="70" t="str">
        <f>'Target Revenue'!B26</f>
        <v>Return on capital</v>
      </c>
      <c r="C34" s="118" t="s">
        <v>186</v>
      </c>
      <c r="D34" s="215" t="str">
        <f>'Target Revenue'!E26</f>
        <v>Regulated Asset Base</v>
      </c>
      <c r="E34" s="215" t="str">
        <f>'Target Revenue'!F26</f>
        <v>Distribution</v>
      </c>
      <c r="F34" s="70" t="s">
        <v>206</v>
      </c>
      <c r="H34" s="216">
        <f ca="1">INDEX($H$16:$K$21,MATCH($D34,$B$16:$B$21,0),0)*'Pricing Area Allocations'!H39</f>
        <v>33.407777940619518</v>
      </c>
      <c r="I34" s="216">
        <f ca="1">INDEX($H$16:$K$21,MATCH($D34,$B$16:$B$21,0),0)*'Pricing Area Allocations'!I39</f>
        <v>29.168191278986988</v>
      </c>
      <c r="J34" s="216">
        <f ca="1">VLOOKUP($D34,$B$16:$K$21,9,FALSE)*'Pricing Area Allocations'!J39</f>
        <v>18.15098459751205</v>
      </c>
      <c r="K34" s="216">
        <f ca="1">INDEX($H$16:$K$21,MATCH($D34,$B$16:$B$21,0),0)*'Pricing Area Allocations'!K39</f>
        <v>18.482607005697165</v>
      </c>
    </row>
    <row r="35" spans="1:11" ht="12" customHeight="1">
      <c r="B35" s="70" t="str">
        <f>'Target Revenue'!B27</f>
        <v>Local Authority rates</v>
      </c>
      <c r="C35" s="118" t="s">
        <v>186</v>
      </c>
      <c r="D35" s="215" t="str">
        <f>'Target Revenue'!E27</f>
        <v>Regulated Asset Base</v>
      </c>
      <c r="E35" s="215" t="str">
        <f>'Target Revenue'!F27</f>
        <v>Passthrough</v>
      </c>
      <c r="F35" s="70" t="s">
        <v>206</v>
      </c>
      <c r="H35" s="216">
        <f>INDEX($H$16:$K$21,MATCH($D35,$B$16:$B$21,0),0)*'Pricing Area Allocations'!H40</f>
        <v>1.3327226997601838</v>
      </c>
      <c r="I35" s="216">
        <f>INDEX($H$16:$K$21,MATCH($D35,$B$16:$B$21,0),0)*'Pricing Area Allocations'!I40</f>
        <v>1.1635946185211059</v>
      </c>
      <c r="J35" s="216">
        <f>VLOOKUP($D35,$B$16:$K$21,9,FALSE)*'Pricing Area Allocations'!J40</f>
        <v>0.72408973859616066</v>
      </c>
      <c r="K35" s="216">
        <f>INDEX($H$16:$K$21,MATCH($D35,$B$16:$B$21,0),0)*'Pricing Area Allocations'!K40</f>
        <v>0.73731901448284198</v>
      </c>
    </row>
    <row r="36" spans="1:11" ht="12" customHeight="1">
      <c r="B36" s="70" t="str">
        <f>'Target Revenue'!B28</f>
        <v>Commerce Act levies</v>
      </c>
      <c r="C36" s="118" t="s">
        <v>186</v>
      </c>
      <c r="D36" s="215" t="str">
        <f>'Target Revenue'!E28</f>
        <v>Regulated Asset Base</v>
      </c>
      <c r="E36" s="215" t="str">
        <f>'Target Revenue'!F28</f>
        <v>Passthrough</v>
      </c>
      <c r="F36" s="70" t="s">
        <v>206</v>
      </c>
      <c r="H36" s="216">
        <f>INDEX($H$16:$K$21,MATCH($D36,$B$16:$B$21,0),0)*'Pricing Area Allocations'!H41</f>
        <v>0.33396556322703941</v>
      </c>
      <c r="I36" s="216">
        <f>INDEX($H$16:$K$21,MATCH($D36,$B$16:$B$21,0),0)*'Pricing Area Allocations'!I41</f>
        <v>0.29158393731290067</v>
      </c>
      <c r="J36" s="216">
        <f>VLOOKUP($D36,$B$16:$K$21,9,FALSE)*'Pricing Area Allocations'!J41</f>
        <v>0.18144887711502242</v>
      </c>
      <c r="K36" s="216">
        <f>INDEX($H$16:$K$21,MATCH($D36,$B$16:$B$21,0),0)*'Pricing Area Allocations'!K41</f>
        <v>0.1847639872826338</v>
      </c>
    </row>
    <row r="37" spans="1:11" ht="12" customHeight="1">
      <c r="B37" s="70" t="str">
        <f>'Target Revenue'!B29</f>
        <v>Electricity Authority levies</v>
      </c>
      <c r="C37" s="118" t="s">
        <v>186</v>
      </c>
      <c r="D37" s="215" t="str">
        <f>'Target Revenue'!E29</f>
        <v>MWh</v>
      </c>
      <c r="E37" s="215" t="str">
        <f>'Target Revenue'!F29</f>
        <v>Passthrough</v>
      </c>
      <c r="F37" s="70" t="s">
        <v>206</v>
      </c>
      <c r="H37" s="216">
        <f>INDEX($H$16:$K$21,MATCH($D37,$B$16:$B$21,0),0)*'Pricing Area Allocations'!H42</f>
        <v>1.0834085163322493</v>
      </c>
      <c r="I37" s="216">
        <f>INDEX($H$16:$K$21,MATCH($D37,$B$16:$B$21,0),0)*'Pricing Area Allocations'!I42</f>
        <v>0.20711194396680335</v>
      </c>
      <c r="J37" s="216">
        <f>VLOOKUP($D37,$B$16:$K$21,9,FALSE)*'Pricing Area Allocations'!J42</f>
        <v>0.15594516522964197</v>
      </c>
      <c r="K37" s="216">
        <f>INDEX($H$16:$K$21,MATCH($D37,$B$16:$B$21,0),0)*'Pricing Area Allocations'!K42</f>
        <v>1.3970451532330751E-3</v>
      </c>
    </row>
    <row r="38" spans="1:11" ht="12" customHeight="1">
      <c r="B38" s="70" t="str">
        <f>'Target Revenue'!B30</f>
        <v>Electricity Authority levies</v>
      </c>
      <c r="C38" s="118" t="s">
        <v>186</v>
      </c>
      <c r="D38" s="215" t="str">
        <f>'Target Revenue'!E30</f>
        <v>ICP Count</v>
      </c>
      <c r="E38" s="215" t="str">
        <f>'Target Revenue'!F30</f>
        <v>Passthrough</v>
      </c>
      <c r="F38" s="70" t="s">
        <v>206</v>
      </c>
      <c r="H38" s="216">
        <f>INDEX($H$16:$K$21,MATCH($D38,$B$16:$B$21,0),0)*'Pricing Area Allocations'!H43</f>
        <v>1.2468691660626825E-3</v>
      </c>
      <c r="I38" s="216">
        <f>INDEX($H$16:$K$21,MATCH($D38,$B$16:$B$21,0),0)*'Pricing Area Allocations'!I43</f>
        <v>3.1171729151567061E-3</v>
      </c>
      <c r="J38" s="216">
        <f>VLOOKUP($D38,$B$16:$K$21,9,FALSE)*'Pricing Area Allocations'!J43</f>
        <v>3.1171729151567066E-3</v>
      </c>
      <c r="K38" s="216">
        <f>INDEX($H$16:$K$21,MATCH($D38,$B$16:$B$21,0),0)*'Pricing Area Allocations'!K43</f>
        <v>6.2343458303134116E-4</v>
      </c>
    </row>
    <row r="39" spans="1:11" ht="12" customHeight="1">
      <c r="B39" s="70" t="str">
        <f>'Target Revenue'!B31</f>
        <v>Utilities Disputes levies</v>
      </c>
      <c r="C39" s="118" t="s">
        <v>186</v>
      </c>
      <c r="D39" s="215" t="str">
        <f>'Target Revenue'!E31</f>
        <v>ICP Count</v>
      </c>
      <c r="E39" s="215" t="str">
        <f>'Target Revenue'!F31</f>
        <v>Passthrough</v>
      </c>
      <c r="F39" s="70" t="s">
        <v>206</v>
      </c>
      <c r="H39" s="216">
        <f>INDEX($H$16:$K$21,MATCH($D39,$B$16:$B$21,0),0)*'Pricing Area Allocations'!H44</f>
        <v>1.6072785574663417E-3</v>
      </c>
      <c r="I39" s="216">
        <f>INDEX($H$16:$K$21,MATCH($D39,$B$16:$B$21,0),0)*'Pricing Area Allocations'!I44</f>
        <v>4.0181963936658542E-3</v>
      </c>
      <c r="J39" s="216">
        <f>VLOOKUP($D39,$B$16:$K$21,9,FALSE)*'Pricing Area Allocations'!J44</f>
        <v>4.0181963936658542E-3</v>
      </c>
      <c r="K39" s="216">
        <f>INDEX($H$16:$K$21,MATCH($D39,$B$16:$B$21,0),0)*'Pricing Area Allocations'!K44</f>
        <v>8.0363927873317064E-4</v>
      </c>
    </row>
    <row r="40" spans="1:11" ht="12" customHeight="1">
      <c r="B40" s="70" t="str">
        <f>'Target Revenue'!B32</f>
        <v>Opex Incentive Amount</v>
      </c>
      <c r="C40" s="118" t="s">
        <v>186</v>
      </c>
      <c r="D40" s="215" t="str">
        <f>'Target Revenue'!E32</f>
        <v>Prior year distribution revenue</v>
      </c>
      <c r="E40" s="215" t="str">
        <f>'Target Revenue'!F32</f>
        <v>Passthrough</v>
      </c>
      <c r="F40" s="70" t="s">
        <v>206</v>
      </c>
      <c r="H40" s="216">
        <f ca="1">INDEX($H$16:$K$21,MATCH($D40,$B$16:$B$21,0),0)*'Pricing Area Allocations'!H45</f>
        <v>51.567392204206918</v>
      </c>
      <c r="I40" s="216">
        <f ca="1">INDEX($H$16:$K$21,MATCH($D40,$B$16:$B$21,0),0)*'Pricing Area Allocations'!I45</f>
        <v>15.08709905437345</v>
      </c>
      <c r="J40" s="216">
        <f ca="1">VLOOKUP($D40,$B$16:$K$21,9,FALSE)*'Pricing Area Allocations'!J45</f>
        <v>6.2373386345120396</v>
      </c>
      <c r="K40" s="216">
        <f ca="1">INDEX($H$16:$K$21,MATCH($D40,$B$16:$B$21,0),0)*'Pricing Area Allocations'!K45</f>
        <v>0.20557726705714996</v>
      </c>
    </row>
    <row r="41" spans="1:11" ht="12" customHeight="1">
      <c r="B41" s="70" t="str">
        <f>'Target Revenue'!B33</f>
        <v>Capex Incentive Amount</v>
      </c>
      <c r="C41" s="118" t="s">
        <v>186</v>
      </c>
      <c r="D41" s="215" t="str">
        <f>'Target Revenue'!E33</f>
        <v>Regulated Asset Base</v>
      </c>
      <c r="E41" s="215" t="str">
        <f>'Target Revenue'!F33</f>
        <v>Passthrough</v>
      </c>
      <c r="F41" s="70" t="s">
        <v>206</v>
      </c>
      <c r="H41" s="216">
        <f ca="1">INDEX($H$16:$K$21,MATCH($D41,$B$16:$B$21,0),0)*'Pricing Area Allocations'!H46</f>
        <v>-1.4586518634214782</v>
      </c>
      <c r="I41" s="216">
        <f ca="1">INDEX($H$16:$K$21,MATCH($D41,$B$16:$B$21,0),0)*'Pricing Area Allocations'!I46</f>
        <v>-1.2735428449432364</v>
      </c>
      <c r="J41" s="216">
        <f ca="1">VLOOKUP($D41,$B$16:$K$21,9,FALSE)*'Pricing Area Allocations'!J46</f>
        <v>-0.79250908435619605</v>
      </c>
      <c r="K41" s="216">
        <f ca="1">INDEX($H$16:$K$21,MATCH($D41,$B$16:$B$21,0),0)*'Pricing Area Allocations'!K46</f>
        <v>-0.80698839646463161</v>
      </c>
    </row>
    <row r="42" spans="1:11" ht="12" customHeight="1">
      <c r="B42" s="70" t="str">
        <f>'Target Revenue'!C34</f>
        <v>Transpower  - connection costs</v>
      </c>
      <c r="C42" s="118" t="s">
        <v>186</v>
      </c>
      <c r="D42" s="215" t="str">
        <f>'Target Revenue'!E34</f>
        <v>CPD</v>
      </c>
      <c r="E42" s="215" t="str">
        <f>'Target Revenue'!F34</f>
        <v>Passthrough</v>
      </c>
      <c r="F42" s="70" t="s">
        <v>206</v>
      </c>
      <c r="H42" s="216">
        <f>INDEX($H$16:$K$21,MATCH($D42,$B$16:$B$21,0),0)*'Pricing Area Allocations'!H47</f>
        <v>8.2253734660936413</v>
      </c>
      <c r="I42" s="216">
        <f>INDEX($H$16:$K$21,MATCH($D42,$B$16:$B$21,0),0)*'Pricing Area Allocations'!I47</f>
        <v>3.4036746230398682</v>
      </c>
      <c r="J42" s="216">
        <f>VLOOKUP($D42,$B$16:$K$21,9,FALSE)*'Pricing Area Allocations'!J47</f>
        <v>5.5164620442229175</v>
      </c>
      <c r="K42" s="216">
        <f>INDEX($H$16:$K$21,MATCH($D42,$B$16:$B$21,0),0)*'Pricing Area Allocations'!K47</f>
        <v>0</v>
      </c>
    </row>
    <row r="43" spans="1:11" ht="12" customHeight="1">
      <c r="B43" s="70" t="str">
        <f>'Target Revenue'!C35</f>
        <v>Transpower - interconnection costs</v>
      </c>
      <c r="C43" s="118" t="s">
        <v>186</v>
      </c>
      <c r="D43" s="215" t="str">
        <f>'Target Revenue'!E35</f>
        <v>CPD</v>
      </c>
      <c r="E43" s="215" t="str">
        <f>'Target Revenue'!F35</f>
        <v>Passthrough</v>
      </c>
      <c r="F43" s="70" t="s">
        <v>206</v>
      </c>
      <c r="H43" s="216">
        <f>INDEX($H$16:$K$21,MATCH($D43,$B$16:$B$21,0),0)*'Pricing Area Allocations'!H48</f>
        <v>33.752921189820412</v>
      </c>
      <c r="I43" s="216">
        <f>INDEX($H$16:$K$21,MATCH($D43,$B$16:$B$21,0),0)*'Pricing Area Allocations'!I48</f>
        <v>13.967020680681212</v>
      </c>
      <c r="J43" s="216">
        <f>VLOOKUP($D43,$B$16:$K$21,9,FALSE)*'Pricing Area Allocations'!J48</f>
        <v>22.636869850691355</v>
      </c>
      <c r="K43" s="216">
        <f>INDEX($H$16:$K$21,MATCH($D43,$B$16:$B$21,0),0)*'Pricing Area Allocations'!K48</f>
        <v>0</v>
      </c>
    </row>
    <row r="44" spans="1:11" ht="12" customHeight="1">
      <c r="B44" s="70" t="str">
        <f>'Target Revenue'!C36</f>
        <v>Transpower - new investment contract</v>
      </c>
      <c r="C44" s="118" t="s">
        <v>186</v>
      </c>
      <c r="D44" s="215" t="str">
        <f>'Target Revenue'!E36</f>
        <v>CPD</v>
      </c>
      <c r="E44" s="215" t="str">
        <f>'Target Revenue'!F36</f>
        <v>Passthrough</v>
      </c>
      <c r="F44" s="70" t="s">
        <v>206</v>
      </c>
      <c r="H44" s="216">
        <f>INDEX($H$16:$K$21,MATCH($D44,$B$16:$B$21,0),0)*'Pricing Area Allocations'!H49</f>
        <v>0.14496453262421871</v>
      </c>
      <c r="I44" s="216">
        <f>INDEX($H$16:$K$21,MATCH($D44,$B$16:$B$21,0),0)*'Pricing Area Allocations'!I49</f>
        <v>2.3028876211845501</v>
      </c>
      <c r="J44" s="216">
        <f>VLOOKUP($D44,$B$16:$K$21,9,FALSE)*'Pricing Area Allocations'!J49</f>
        <v>0</v>
      </c>
      <c r="K44" s="216">
        <f>INDEX($H$16:$K$21,MATCH($D44,$B$16:$B$21,0),0)*'Pricing Area Allocations'!K49</f>
        <v>0</v>
      </c>
    </row>
    <row r="45" spans="1:11" ht="12" customHeight="1">
      <c r="A45" s="180" t="str">
        <f t="shared" si="0"/>
        <v>Load group Streetlighting</v>
      </c>
      <c r="B45" s="70" t="str">
        <f>'Target Revenue'!C37</f>
        <v>Distributed Generation Allowance</v>
      </c>
      <c r="C45" s="118" t="s">
        <v>186</v>
      </c>
      <c r="D45" s="215" t="str">
        <f>'Target Revenue'!E37</f>
        <v>CPD</v>
      </c>
      <c r="E45" s="215" t="str">
        <f>'Target Revenue'!F37</f>
        <v>Passthrough</v>
      </c>
      <c r="F45" s="70" t="s">
        <v>206</v>
      </c>
      <c r="H45" s="216">
        <f>INDEX($H$16:$K$21,MATCH($D45,$B$16:$B$21,0),0)*'Pricing Area Allocations'!H50</f>
        <v>14.346796457122656</v>
      </c>
      <c r="I45" s="216">
        <f>INDEX($H$16:$K$21,MATCH($D45,$B$16:$B$21,0),0)*'Pricing Area Allocations'!I50</f>
        <v>1.5020790359178107</v>
      </c>
      <c r="J45" s="216">
        <f>VLOOKUP($D45,$B$16:$K$21,9,FALSE)*'Pricing Area Allocations'!J50</f>
        <v>0.77170348088158092</v>
      </c>
      <c r="K45" s="216">
        <f>INDEX($H$16:$K$21,MATCH($D45,$B$16:$B$21,0),0)*'Pricing Area Allocations'!K50</f>
        <v>0</v>
      </c>
    </row>
    <row r="46" spans="1:11" ht="12" customHeight="1">
      <c r="A46" s="180" t="str">
        <f t="shared" si="0"/>
        <v>Load group Streetlighting</v>
      </c>
      <c r="B46" s="70" t="str">
        <f>'Target Revenue'!B38</f>
        <v>CPP recoverable costs</v>
      </c>
      <c r="C46" s="118" t="s">
        <v>186</v>
      </c>
      <c r="D46" s="215" t="str">
        <f>'Target Revenue'!E38</f>
        <v>ICP Count</v>
      </c>
      <c r="E46" s="215" t="str">
        <f>'Target Revenue'!F38</f>
        <v>Passthrough</v>
      </c>
      <c r="F46" s="70" t="s">
        <v>206</v>
      </c>
      <c r="H46" s="216">
        <f ca="1">INDEX($H$16:$K$21,MATCH($D46,$B$16:$B$21,0),0)*'Pricing Area Allocations'!H51</f>
        <v>0</v>
      </c>
      <c r="I46" s="216">
        <f ca="1">INDEX($H$16:$K$21,MATCH($D46,$B$16:$B$21,0),0)*'Pricing Area Allocations'!I51</f>
        <v>0</v>
      </c>
      <c r="J46" s="216">
        <f ca="1">VLOOKUP($D46,$B$16:$K$21,9,FALSE)*'Pricing Area Allocations'!J51</f>
        <v>0</v>
      </c>
      <c r="K46" s="216">
        <f ca="1">INDEX($H$16:$K$21,MATCH($D46,$B$16:$B$21,0),0)*'Pricing Area Allocations'!K51</f>
        <v>0</v>
      </c>
    </row>
    <row r="47" spans="1:11" ht="12" customHeight="1">
      <c r="A47" s="180" t="str">
        <f t="shared" si="0"/>
        <v>Load group Streetlighting</v>
      </c>
      <c r="B47" s="70" t="str">
        <f>'Target Revenue'!B39</f>
        <v>Quality Incentive Adjustments</v>
      </c>
      <c r="C47" s="118" t="s">
        <v>186</v>
      </c>
      <c r="D47" s="215" t="str">
        <f>'Target Revenue'!E39</f>
        <v>ICP Count</v>
      </c>
      <c r="E47" s="215" t="str">
        <f>'Target Revenue'!F39</f>
        <v>Passthrough</v>
      </c>
      <c r="F47" s="70" t="s">
        <v>206</v>
      </c>
      <c r="H47" s="216">
        <f ca="1">INDEX($H$16:$K$21,MATCH($D47,$B$16:$B$21,0),0)*'Pricing Area Allocations'!H52</f>
        <v>-2.150051893363818E-4</v>
      </c>
      <c r="I47" s="216">
        <f ca="1">INDEX($H$16:$K$21,MATCH($D47,$B$16:$B$21,0),0)*'Pricing Area Allocations'!I52</f>
        <v>-5.3751297334095447E-4</v>
      </c>
      <c r="J47" s="216">
        <f ca="1">VLOOKUP($D47,$B$16:$K$21,9,FALSE)*'Pricing Area Allocations'!J52</f>
        <v>-5.3751297334095457E-4</v>
      </c>
      <c r="K47" s="216">
        <f ca="1">INDEX($H$16:$K$21,MATCH($D47,$B$16:$B$21,0),0)*'Pricing Area Allocations'!K52</f>
        <v>-1.075025946681909E-4</v>
      </c>
    </row>
    <row r="48" spans="1:11" ht="12" customHeight="1">
      <c r="A48" s="180" t="str">
        <f t="shared" si="0"/>
        <v>Load group Streetlighting</v>
      </c>
      <c r="B48" s="70" t="str">
        <f>'Target Revenue'!B40</f>
        <v>Capex Wash-up Adjustment</v>
      </c>
      <c r="C48" s="118" t="s">
        <v>186</v>
      </c>
      <c r="D48" s="215" t="str">
        <f>'Target Revenue'!E40</f>
        <v>Regulated Asset Base</v>
      </c>
      <c r="E48" s="215" t="str">
        <f>'Target Revenue'!F40</f>
        <v>Passthrough</v>
      </c>
      <c r="F48" s="70" t="s">
        <v>206</v>
      </c>
      <c r="H48" s="216">
        <f ca="1">INDEX($H$16:$K$21,MATCH($D48,$B$16:$B$21,0),0)*'Pricing Area Allocations'!H53</f>
        <v>-0.76694155661728414</v>
      </c>
      <c r="I48" s="216">
        <f ca="1">INDEX($H$16:$K$21,MATCH($D48,$B$16:$B$21,0),0)*'Pricing Area Allocations'!I53</f>
        <v>-0.66961346734820082</v>
      </c>
      <c r="J48" s="216">
        <f ca="1">VLOOKUP($D48,$B$16:$K$21,9,FALSE)*'Pricing Area Allocations'!J53</f>
        <v>-0.41669171790160947</v>
      </c>
      <c r="K48" s="216">
        <f ca="1">INDEX($H$16:$K$21,MATCH($D48,$B$16:$B$21,0),0)*'Pricing Area Allocations'!K53</f>
        <v>-0.42430476556957264</v>
      </c>
    </row>
    <row r="49" spans="1:14" ht="12" customHeight="1">
      <c r="A49" s="180" t="str">
        <f t="shared" si="0"/>
        <v>Load group Streetlighting</v>
      </c>
      <c r="B49" s="70" t="str">
        <f>'Target Revenue'!B41</f>
        <v>Fire and Emergency Management New Zealand (FENZ) levies</v>
      </c>
      <c r="C49" s="118" t="s">
        <v>186</v>
      </c>
      <c r="D49" s="215" t="str">
        <f>'Target Revenue'!E41</f>
        <v>Regulated Asset Base</v>
      </c>
      <c r="E49" s="215" t="str">
        <f>'Target Revenue'!F41</f>
        <v>Passthrough</v>
      </c>
      <c r="F49" s="70" t="s">
        <v>206</v>
      </c>
      <c r="H49" s="216">
        <f>INDEX($H$16:$K$21,MATCH($D49,$B$16:$B$21,0),0)*'Pricing Area Allocations'!H54</f>
        <v>4.1734688181703693E-2</v>
      </c>
      <c r="I49" s="216">
        <f>INDEX($H$16:$K$21,MATCH($D49,$B$16:$B$21,0),0)*'Pricing Area Allocations'!I54</f>
        <v>3.6438381804876081E-2</v>
      </c>
      <c r="J49" s="216">
        <f>VLOOKUP($D49,$B$16:$K$21,9,FALSE)*'Pricing Area Allocations'!J54</f>
        <v>2.2675129238302883E-2</v>
      </c>
      <c r="K49" s="216">
        <f>INDEX($H$16:$K$21,MATCH($D49,$B$16:$B$21,0),0)*'Pricing Area Allocations'!K54</f>
        <v>2.3089408746035236E-2</v>
      </c>
    </row>
    <row r="50" spans="1:14" s="88" customFormat="1" ht="12" customHeight="1">
      <c r="A50" s="217"/>
      <c r="B50" s="218" t="s">
        <v>7</v>
      </c>
      <c r="C50" s="163"/>
      <c r="H50" s="219">
        <f ca="1">SUM(H25:H49)</f>
        <v>174.43690033641093</v>
      </c>
      <c r="I50" s="220">
        <f ca="1">SUM(I25:I49)</f>
        <v>109.0941191055029</v>
      </c>
      <c r="J50" s="220">
        <f ca="1">SUM(J25:J49)</f>
        <v>72.507873183298869</v>
      </c>
      <c r="K50" s="220">
        <f ca="1">SUM(K25:K49)</f>
        <v>32.142197844678869</v>
      </c>
      <c r="L50" s="70"/>
      <c r="M50" s="70"/>
      <c r="N50" s="70"/>
    </row>
    <row r="51" spans="1:14" s="88" customFormat="1" ht="12" customHeight="1">
      <c r="A51" s="217"/>
      <c r="B51" s="218"/>
      <c r="C51" s="163"/>
      <c r="H51" s="219"/>
      <c r="I51" s="220"/>
      <c r="J51" s="220"/>
      <c r="K51" s="220"/>
      <c r="L51" s="70"/>
      <c r="M51" s="70"/>
      <c r="N51" s="70"/>
    </row>
    <row r="52" spans="1:14" s="88" customFormat="1" ht="12" customHeight="1">
      <c r="A52" s="217"/>
      <c r="B52" s="218"/>
      <c r="C52" s="163"/>
      <c r="D52" s="221"/>
      <c r="E52" s="88" t="str">
        <f>'Name labels'!$B$62</f>
        <v>Distribution</v>
      </c>
      <c r="H52" s="219">
        <f ca="1">SUMIF($E25:H49,$E52,H25:H49)</f>
        <v>65.830575296546527</v>
      </c>
      <c r="I52" s="219">
        <f ca="1">SUMIF($E25:I49,$E52,I25:I49)</f>
        <v>73.069187664656269</v>
      </c>
      <c r="J52" s="219">
        <f ca="1">SUMIF($E25:J49,$E52,J25:J49)</f>
        <v>37.463943208734165</v>
      </c>
      <c r="K52" s="219">
        <f ca="1">SUMIF($E25:K49,$E52,K25:K49)</f>
        <v>32.220024712724069</v>
      </c>
      <c r="L52" s="70"/>
      <c r="M52" s="70"/>
      <c r="N52" s="70"/>
    </row>
    <row r="53" spans="1:14" s="88" customFormat="1" ht="12" customHeight="1">
      <c r="A53" s="217"/>
      <c r="B53" s="218"/>
      <c r="C53" s="163"/>
      <c r="E53" s="88" t="str">
        <f>'Name labels'!$B$63</f>
        <v>Passthrough</v>
      </c>
      <c r="H53" s="219">
        <f ca="1">SUMIF($E25:H49,$E53,H25:H49)</f>
        <v>108.60632503986444</v>
      </c>
      <c r="I53" s="219">
        <f ca="1">SUMIF($E25:I49,$E53,I25:I49)</f>
        <v>36.024931440846629</v>
      </c>
      <c r="J53" s="219">
        <f ca="1">SUMIF($E25:J49,$E53,J25:J49)</f>
        <v>35.043929974564705</v>
      </c>
      <c r="K53" s="219">
        <f ca="1">SUMIF($E25:K49,$E53,K25:K49)</f>
        <v>-7.7826868045213798E-2</v>
      </c>
      <c r="L53" s="70"/>
      <c r="M53" s="70"/>
      <c r="N53" s="70"/>
    </row>
    <row r="54" spans="1:14" s="88" customFormat="1" ht="12" customHeight="1">
      <c r="A54" s="217"/>
      <c r="B54" s="81"/>
      <c r="C54" s="163"/>
      <c r="F54" s="70"/>
      <c r="G54" s="70"/>
      <c r="H54" s="70"/>
      <c r="I54" s="70"/>
      <c r="J54" s="70"/>
      <c r="K54" s="70"/>
      <c r="L54" s="70"/>
      <c r="M54" s="70"/>
      <c r="N54" s="70"/>
    </row>
    <row r="55" spans="1:14" s="214" customFormat="1" ht="24" customHeight="1">
      <c r="A55" s="211"/>
      <c r="B55" s="212" t="str">
        <f>'Name labels'!C$11</f>
        <v>Load group 1 (incl residential)</v>
      </c>
      <c r="C55" s="209" t="s">
        <v>178</v>
      </c>
      <c r="D55" s="210" t="s">
        <v>205</v>
      </c>
      <c r="E55" s="213" t="s">
        <v>98</v>
      </c>
      <c r="H55" s="70"/>
      <c r="I55" s="70"/>
      <c r="J55" s="70"/>
      <c r="K55" s="70"/>
      <c r="L55" s="70"/>
      <c r="M55" s="70"/>
      <c r="N55" s="70"/>
    </row>
    <row r="56" spans="1:14" ht="12" customHeight="1">
      <c r="H56" s="214"/>
    </row>
    <row r="57" spans="1:14" ht="12" customHeight="1">
      <c r="B57" s="161" t="s">
        <v>207</v>
      </c>
    </row>
    <row r="59" spans="1:14" ht="12" customHeight="1">
      <c r="B59" s="70" t="str">
        <f>'Name labels'!C$47</f>
        <v>ICP Count</v>
      </c>
      <c r="C59" s="198" t="s">
        <v>6</v>
      </c>
      <c r="H59" s="82">
        <f>'Allocator Data'!I$27</f>
        <v>0.93913356102822221</v>
      </c>
      <c r="I59" s="82">
        <f>'Allocator Data'!J$27</f>
        <v>0.90105361741980805</v>
      </c>
      <c r="J59" s="82">
        <f>'Allocator Data'!K$27</f>
        <v>0.87166427546628411</v>
      </c>
      <c r="K59" s="82">
        <f>'Allocator Data'!L$27</f>
        <v>0.97080291970802923</v>
      </c>
    </row>
    <row r="60" spans="1:14" ht="12" customHeight="1">
      <c r="B60" s="70" t="str">
        <f>'Name labels'!C$48</f>
        <v>CPD</v>
      </c>
      <c r="C60" s="198" t="s">
        <v>6</v>
      </c>
      <c r="H60" s="82">
        <f>'Allocator Data'!I$67</f>
        <v>0.63455612010654472</v>
      </c>
      <c r="I60" s="82">
        <f>'Allocator Data'!J$67</f>
        <v>0.68207637992465542</v>
      </c>
      <c r="J60" s="82">
        <f>'Allocator Data'!K$67</f>
        <v>0.61307697775134373</v>
      </c>
      <c r="K60" s="82">
        <f>'Allocator Data'!L$67</f>
        <v>0.27581035874956755</v>
      </c>
    </row>
    <row r="61" spans="1:14" ht="12" customHeight="1">
      <c r="B61" s="70" t="str">
        <f>'Name labels'!C$49</f>
        <v>Prior year distribution revenue</v>
      </c>
      <c r="C61" s="198" t="s">
        <v>6</v>
      </c>
      <c r="H61" s="82">
        <f>'Allocator Data'!I$115</f>
        <v>0.66929508412709304</v>
      </c>
      <c r="I61" s="82">
        <f>'Allocator Data'!J$115</f>
        <v>0.66339235592639545</v>
      </c>
      <c r="J61" s="82">
        <f>'Allocator Data'!K$115</f>
        <v>0.60588474415737048</v>
      </c>
      <c r="K61" s="82">
        <f>'Allocator Data'!L$115</f>
        <v>0.94462772268305994</v>
      </c>
    </row>
    <row r="62" spans="1:14" ht="12" customHeight="1">
      <c r="B62" s="70" t="str">
        <f>'Name labels'!C$50</f>
        <v>MWh</v>
      </c>
      <c r="C62" s="198" t="s">
        <v>6</v>
      </c>
      <c r="H62" s="82">
        <f>'Allocator Data'!I$139</f>
        <v>0.54918432349383139</v>
      </c>
      <c r="I62" s="82">
        <f>'Allocator Data'!J$139</f>
        <v>0.47227857015229707</v>
      </c>
      <c r="J62" s="82">
        <f>'Allocator Data'!K$139</f>
        <v>0.46277599649431844</v>
      </c>
      <c r="K62" s="82">
        <f>'Allocator Data'!L$139</f>
        <v>0.94607843137254899</v>
      </c>
    </row>
    <row r="63" spans="1:14" ht="12" customHeight="1">
      <c r="B63" s="70" t="str">
        <f>'Name labels'!C$51</f>
        <v>Regulated Asset Base</v>
      </c>
      <c r="C63" s="198" t="s">
        <v>6</v>
      </c>
      <c r="H63" s="82">
        <f>'RAB Allocations'!I$28</f>
        <v>0.49618124424188281</v>
      </c>
      <c r="I63" s="82">
        <f>'RAB Allocations'!J$28</f>
        <v>0.43299894389808591</v>
      </c>
      <c r="J63" s="82">
        <f>'RAB Allocations'!K$28</f>
        <v>0.42080388518703127</v>
      </c>
      <c r="K63" s="82">
        <f>'RAB Allocations'!L$28</f>
        <v>0.27581035874956755</v>
      </c>
    </row>
    <row r="64" spans="1:14" ht="12" customHeight="1">
      <c r="B64" s="70" t="str">
        <f>'Name labels'!C$52</f>
        <v>Regulated Asset Base (Depreciation)</v>
      </c>
      <c r="C64" s="198"/>
      <c r="H64" s="82">
        <f>'RAB - Depreciation Allocations'!I$28</f>
        <v>0.48976778992380521</v>
      </c>
      <c r="I64" s="82">
        <f>'RAB - Depreciation Allocations'!J$28</f>
        <v>0.40739178678304794</v>
      </c>
      <c r="J64" s="82">
        <f>'RAB - Depreciation Allocations'!K$28</f>
        <v>0.41797593978076936</v>
      </c>
      <c r="K64" s="82">
        <f>'RAB - Depreciation Allocations'!L$28</f>
        <v>0.27581035874956755</v>
      </c>
    </row>
    <row r="66" spans="1:11" ht="12" customHeight="1">
      <c r="B66" s="161" t="str">
        <f>B55&amp;" Allocation"</f>
        <v>Load group 1 (incl residential) Allocation</v>
      </c>
    </row>
    <row r="67" spans="1:11" ht="12" customHeight="1">
      <c r="B67" s="88"/>
    </row>
    <row r="68" spans="1:11" ht="12" customHeight="1">
      <c r="A68" s="180" t="str">
        <f>$B$12</f>
        <v>Load group Streetlighting</v>
      </c>
      <c r="B68" s="70" t="str">
        <f>B25</f>
        <v>Service interruptions and emergencies</v>
      </c>
      <c r="C68" s="118" t="s">
        <v>186</v>
      </c>
      <c r="D68" s="215" t="str">
        <f>'Target Revenue'!E17</f>
        <v>CPD</v>
      </c>
      <c r="E68" s="215" t="str">
        <f>'Target Revenue'!F17</f>
        <v>Distribution</v>
      </c>
      <c r="F68" s="70" t="s">
        <v>206</v>
      </c>
      <c r="H68" s="216">
        <f ca="1">INDEX($H$59:$K$64,MATCH($D68,$B$59:$B$64,0),0)*'Pricing Area Allocations'!H30</f>
        <v>491.50348708300965</v>
      </c>
      <c r="I68" s="216">
        <f ca="1">INDEX($H$59:$K$64,MATCH($D68,$B$59:$B$64,0),0)*'Pricing Area Allocations'!I30</f>
        <v>612.7785758393145</v>
      </c>
      <c r="J68" s="216">
        <f ca="1">INDEX($H$59:$K$64,MATCH($D68,$B$59:$B$64,0),0)*'Pricing Area Allocations'!J30</f>
        <v>200.86675511615846</v>
      </c>
      <c r="K68" s="216">
        <f ca="1">INDEX($H$59:$K$64,MATCH($D68,$B$59:$B$64,0),0)*'Pricing Area Allocations'!K30</f>
        <v>0.53789108639080918</v>
      </c>
    </row>
    <row r="69" spans="1:11" ht="12" customHeight="1">
      <c r="A69" s="180" t="str">
        <f t="shared" ref="A69:A92" si="1">$B$12</f>
        <v>Load group Streetlighting</v>
      </c>
      <c r="B69" s="70" t="str">
        <f t="shared" ref="B69:B92" si="2">B26</f>
        <v>Service interruptions and emergencies</v>
      </c>
      <c r="C69" s="118" t="s">
        <v>186</v>
      </c>
      <c r="D69" s="215" t="str">
        <f>'Target Revenue'!E18</f>
        <v>ICP Count</v>
      </c>
      <c r="E69" s="215" t="str">
        <f>'Target Revenue'!F18</f>
        <v>Distribution</v>
      </c>
      <c r="F69" s="70" t="s">
        <v>206</v>
      </c>
      <c r="H69" s="216">
        <f ca="1">INDEX($H$59:$K$64,MATCH($D69,$B$59:$B$64,0),0)*'Pricing Area Allocations'!H31</f>
        <v>1148.9019564400633</v>
      </c>
      <c r="I69" s="216">
        <f ca="1">INDEX($H$59:$K$64,MATCH($D69,$B$59:$B$64,0),0)*'Pricing Area Allocations'!I31</f>
        <v>423.15235138618215</v>
      </c>
      <c r="J69" s="216">
        <f ca="1">INDEX($H$59:$K$64,MATCH($D69,$B$59:$B$64,0),0)*'Pricing Area Allocations'!J31</f>
        <v>267.21360678170146</v>
      </c>
      <c r="K69" s="216">
        <f ca="1">INDEX($H$59:$K$64,MATCH($D69,$B$59:$B$64,0),0)*'Pricing Area Allocations'!K31</f>
        <v>2.9248135710613359</v>
      </c>
    </row>
    <row r="70" spans="1:11" ht="12" customHeight="1">
      <c r="A70" s="180" t="str">
        <f t="shared" si="1"/>
        <v>Load group Streetlighting</v>
      </c>
      <c r="B70" s="70" t="str">
        <f t="shared" si="2"/>
        <v>Vegetation management</v>
      </c>
      <c r="C70" s="118" t="s">
        <v>186</v>
      </c>
      <c r="D70" s="215" t="str">
        <f>'Target Revenue'!E19</f>
        <v>CPD</v>
      </c>
      <c r="E70" s="215" t="str">
        <f>'Target Revenue'!F19</f>
        <v>Distribution</v>
      </c>
      <c r="F70" s="70" t="s">
        <v>206</v>
      </c>
      <c r="H70" s="216">
        <f ca="1">INDEX($H$59:$K$64,MATCH($D70,$B$59:$B$64,0),0)*'Pricing Area Allocations'!H32</f>
        <v>1218.8100831451859</v>
      </c>
      <c r="I70" s="216">
        <f ca="1">INDEX($H$59:$K$64,MATCH($D70,$B$59:$B$64,0),0)*'Pricing Area Allocations'!I32</f>
        <v>1354.1135373544971</v>
      </c>
      <c r="J70" s="216">
        <f ca="1">INDEX($H$59:$K$64,MATCH($D70,$B$59:$B$64,0),0)*'Pricing Area Allocations'!J32</f>
        <v>286.75117945764697</v>
      </c>
      <c r="K70" s="216">
        <f ca="1">INDEX($H$59:$K$64,MATCH($D70,$B$59:$B$64,0),0)*'Pricing Area Allocations'!K32</f>
        <v>0</v>
      </c>
    </row>
    <row r="71" spans="1:11" ht="12" customHeight="1">
      <c r="B71" s="70" t="str">
        <f t="shared" si="2"/>
        <v>Routine and corrective maintenance and inspection</v>
      </c>
      <c r="C71" s="118" t="s">
        <v>186</v>
      </c>
      <c r="D71" s="215" t="str">
        <f>'Target Revenue'!E20</f>
        <v>CPD</v>
      </c>
      <c r="E71" s="215" t="str">
        <f>'Target Revenue'!F20</f>
        <v>Distribution</v>
      </c>
      <c r="F71" s="70" t="s">
        <v>206</v>
      </c>
      <c r="H71" s="216">
        <f ca="1">INDEX($H$59:$K$64,MATCH($D71,$B$59:$B$64,0),0)*'Pricing Area Allocations'!H33</f>
        <v>2066.3806710394747</v>
      </c>
      <c r="I71" s="216">
        <f ca="1">INDEX($H$59:$K$64,MATCH($D71,$B$59:$B$64,0),0)*'Pricing Area Allocations'!I33</f>
        <v>2576.2458212785846</v>
      </c>
      <c r="J71" s="216">
        <f ca="1">INDEX($H$59:$K$64,MATCH($D71,$B$59:$B$64,0),0)*'Pricing Area Allocations'!J33</f>
        <v>844.48471096268941</v>
      </c>
      <c r="K71" s="216">
        <f ca="1">INDEX($H$59:$K$64,MATCH($D71,$B$59:$B$64,0),0)*'Pricing Area Allocations'!K33</f>
        <v>2.2614035774982697</v>
      </c>
    </row>
    <row r="72" spans="1:11" ht="12" customHeight="1">
      <c r="B72" s="70" t="str">
        <f t="shared" si="2"/>
        <v>System operations and network support</v>
      </c>
      <c r="C72" s="118" t="s">
        <v>186</v>
      </c>
      <c r="D72" s="215" t="str">
        <f>'Target Revenue'!E21</f>
        <v>ICP Count</v>
      </c>
      <c r="E72" s="215" t="str">
        <f>'Target Revenue'!F21</f>
        <v>Distribution</v>
      </c>
      <c r="F72" s="70" t="s">
        <v>206</v>
      </c>
      <c r="H72" s="216">
        <f ca="1">INDEX($H$59:$K$64,MATCH($D72,$B$59:$B$64,0),0)*'Pricing Area Allocations'!H34</f>
        <v>7643.1645532246148</v>
      </c>
      <c r="I72" s="216">
        <f ca="1">INDEX($H$59:$K$64,MATCH($D72,$B$59:$B$64,0),0)*'Pricing Area Allocations'!I34</f>
        <v>2815.0557448347763</v>
      </c>
      <c r="J72" s="216">
        <f ca="1">INDEX($H$59:$K$64,MATCH($D72,$B$59:$B$64,0),0)*'Pricing Area Allocations'!J34</f>
        <v>1777.6604487832537</v>
      </c>
      <c r="K72" s="216">
        <f ca="1">INDEX($H$59:$K$64,MATCH($D72,$B$59:$B$64,0),0)*'Pricing Area Allocations'!K34</f>
        <v>19.457562314885418</v>
      </c>
    </row>
    <row r="73" spans="1:11" ht="12" customHeight="1">
      <c r="B73" s="70" t="str">
        <f t="shared" si="2"/>
        <v>Business support</v>
      </c>
      <c r="C73" s="118" t="s">
        <v>186</v>
      </c>
      <c r="D73" s="215" t="str">
        <f>'Target Revenue'!E22</f>
        <v>ICP Count</v>
      </c>
      <c r="E73" s="215" t="str">
        <f>'Target Revenue'!F22</f>
        <v>Distribution</v>
      </c>
      <c r="F73" s="70" t="s">
        <v>206</v>
      </c>
      <c r="H73" s="216">
        <f ca="1">INDEX($H$59:$K$64,MATCH($D73,$B$59:$B$64,0),0)*'Pricing Area Allocations'!H35</f>
        <v>7591.3783590552803</v>
      </c>
      <c r="I73" s="216">
        <f ca="1">INDEX($H$59:$K$64,MATCH($D73,$B$59:$B$64,0),0)*'Pricing Area Allocations'!I35</f>
        <v>2795.9823594085774</v>
      </c>
      <c r="J73" s="216">
        <f ca="1">INDEX($H$59:$K$64,MATCH($D73,$B$59:$B$64,0),0)*'Pricing Area Allocations'!J35</f>
        <v>1765.6159260562115</v>
      </c>
      <c r="K73" s="216">
        <f ca="1">INDEX($H$59:$K$64,MATCH($D73,$B$59:$B$64,0),0)*'Pricing Area Allocations'!K35</f>
        <v>19.325727772650492</v>
      </c>
    </row>
    <row r="74" spans="1:11" ht="12" customHeight="1">
      <c r="B74" s="70" t="str">
        <f t="shared" si="2"/>
        <v>Depreciation</v>
      </c>
      <c r="C74" s="118" t="s">
        <v>186</v>
      </c>
      <c r="D74" s="215" t="str">
        <f>'Target Revenue'!E23</f>
        <v>Regulated Asset Base (Depreciation)</v>
      </c>
      <c r="E74" s="215" t="str">
        <f>'Target Revenue'!F23</f>
        <v>Distribution</v>
      </c>
      <c r="F74" s="70" t="s">
        <v>206</v>
      </c>
      <c r="H74" s="216">
        <f ca="1">INDEX($H$59:$K$64,MATCH($D74,$B$59:$B$64,0),0)*'Pricing Area Allocations'!H36</f>
        <v>3845.1580778258121</v>
      </c>
      <c r="I74" s="216">
        <f ca="1">INDEX($H$59:$K$64,MATCH($D74,$B$59:$B$64,0),0)*'Pricing Area Allocations'!I36</f>
        <v>2233.48840522928</v>
      </c>
      <c r="J74" s="216">
        <f ca="1">INDEX($H$59:$K$64,MATCH($D74,$B$59:$B$64,0),0)*'Pricing Area Allocations'!J36</f>
        <v>1442.469358703956</v>
      </c>
      <c r="K74" s="216">
        <f ca="1">INDEX($H$59:$K$64,MATCH($D74,$B$59:$B$64,0),0)*'Pricing Area Allocations'!K36</f>
        <v>3.7740033331381611</v>
      </c>
    </row>
    <row r="75" spans="1:11" ht="12" customHeight="1">
      <c r="B75" s="70" t="str">
        <f t="shared" si="2"/>
        <v>Asset revaluations and other regulatory revenue</v>
      </c>
      <c r="C75" s="118" t="s">
        <v>186</v>
      </c>
      <c r="D75" s="215" t="str">
        <f>'Target Revenue'!E24</f>
        <v>Regulated Asset Base</v>
      </c>
      <c r="E75" s="215" t="str">
        <f>'Target Revenue'!F24</f>
        <v>Distribution</v>
      </c>
      <c r="F75" s="70" t="s">
        <v>206</v>
      </c>
      <c r="H75" s="216">
        <f ca="1">INDEX($H$59:$K$64,MATCH($D75,$B$59:$B$64,0),0)*'Pricing Area Allocations'!H37</f>
        <v>-2420.1527986219999</v>
      </c>
      <c r="I75" s="216">
        <f ca="1">INDEX($H$59:$K$64,MATCH($D75,$B$59:$B$64,0),0)*'Pricing Area Allocations'!I37</f>
        <v>-1500.5104697734851</v>
      </c>
      <c r="J75" s="216">
        <f ca="1">INDEX($H$59:$K$64,MATCH($D75,$B$59:$B$64,0),0)*'Pricing Area Allocations'!J37</f>
        <v>-861.62565863446616</v>
      </c>
      <c r="K75" s="216">
        <f ca="1">INDEX($H$59:$K$64,MATCH($D75,$B$59:$B$64,0),0)*'Pricing Area Allocations'!K37</f>
        <v>-2.5955671077914912</v>
      </c>
    </row>
    <row r="76" spans="1:11" ht="12" customHeight="1">
      <c r="B76" s="70" t="str">
        <f t="shared" si="2"/>
        <v>Tax</v>
      </c>
      <c r="C76" s="118" t="s">
        <v>186</v>
      </c>
      <c r="D76" s="215" t="str">
        <f>'Target Revenue'!E25</f>
        <v>Regulated Asset Base</v>
      </c>
      <c r="E76" s="215" t="str">
        <f>'Target Revenue'!F25</f>
        <v>Distribution</v>
      </c>
      <c r="F76" s="70" t="s">
        <v>206</v>
      </c>
      <c r="H76" s="216">
        <f ca="1">INDEX($H$59:$K$64,MATCH($D76,$B$59:$B$64,0),0)*'Pricing Area Allocations'!H38</f>
        <v>1100.2231577858522</v>
      </c>
      <c r="I76" s="216">
        <f ca="1">INDEX($H$59:$K$64,MATCH($D76,$B$59:$B$64,0),0)*'Pricing Area Allocations'!I38</f>
        <v>682.14551093010016</v>
      </c>
      <c r="J76" s="216">
        <f ca="1">INDEX($H$59:$K$64,MATCH($D76,$B$59:$B$64,0),0)*'Pricing Area Allocations'!J38</f>
        <v>391.70274848426646</v>
      </c>
      <c r="K76" s="216">
        <f ca="1">INDEX($H$59:$K$64,MATCH($D76,$B$59:$B$64,0),0)*'Pricing Area Allocations'!K38</f>
        <v>1.1799680752411341</v>
      </c>
    </row>
    <row r="77" spans="1:11" ht="12" customHeight="1">
      <c r="B77" s="70" t="str">
        <f t="shared" si="2"/>
        <v>Return on capital</v>
      </c>
      <c r="C77" s="118" t="s">
        <v>186</v>
      </c>
      <c r="D77" s="215" t="str">
        <f>'Target Revenue'!E26</f>
        <v>Regulated Asset Base</v>
      </c>
      <c r="E77" s="215" t="str">
        <f>'Target Revenue'!F26</f>
        <v>Distribution</v>
      </c>
      <c r="F77" s="70" t="s">
        <v>206</v>
      </c>
      <c r="H77" s="216">
        <f ca="1">INDEX($H$59:$K$64,MATCH($D77,$B$59:$B$64,0),0)*'Pricing Area Allocations'!H39</f>
        <v>6621.4564784604472</v>
      </c>
      <c r="I77" s="216">
        <f ca="1">INDEX($H$59:$K$64,MATCH($D77,$B$59:$B$64,0),0)*'Pricing Area Allocations'!I39</f>
        <v>4105.346066056879</v>
      </c>
      <c r="J77" s="216">
        <f ca="1">INDEX($H$59:$K$64,MATCH($D77,$B$59:$B$64,0),0)*'Pricing Area Allocations'!J39</f>
        <v>2357.3787583252615</v>
      </c>
      <c r="K77" s="216">
        <f ca="1">INDEX($H$59:$K$64,MATCH($D77,$B$59:$B$64,0),0)*'Pricing Area Allocations'!K39</f>
        <v>7.1013841154783801</v>
      </c>
    </row>
    <row r="78" spans="1:11" ht="12" customHeight="1">
      <c r="B78" s="70" t="str">
        <f t="shared" si="2"/>
        <v>Local Authority rates</v>
      </c>
      <c r="C78" s="118" t="s">
        <v>186</v>
      </c>
      <c r="D78" s="215" t="str">
        <f>'Target Revenue'!E27</f>
        <v>Regulated Asset Base</v>
      </c>
      <c r="E78" s="215" t="str">
        <f>'Target Revenue'!F27</f>
        <v>Passthrough</v>
      </c>
      <c r="F78" s="70" t="s">
        <v>206</v>
      </c>
      <c r="H78" s="216">
        <f>INDEX($H$59:$K$64,MATCH($D78,$B$59:$B$64,0),0)*'Pricing Area Allocations'!H40</f>
        <v>264.14703096995987</v>
      </c>
      <c r="I78" s="216">
        <f>INDEX($H$59:$K$64,MATCH($D78,$B$59:$B$64,0),0)*'Pricing Area Allocations'!I40</f>
        <v>163.77287655377992</v>
      </c>
      <c r="J78" s="216">
        <f>INDEX($H$59:$K$64,MATCH($D78,$B$59:$B$64,0),0)*'Pricing Area Allocations'!J40</f>
        <v>94.041938040201515</v>
      </c>
      <c r="K78" s="216">
        <f>INDEX($H$59:$K$64,MATCH($D78,$B$59:$B$64,0),0)*'Pricing Area Allocations'!K40</f>
        <v>0.28329258615273606</v>
      </c>
    </row>
    <row r="79" spans="1:11" ht="12" customHeight="1">
      <c r="B79" s="70" t="str">
        <f t="shared" si="2"/>
        <v>Commerce Act levies</v>
      </c>
      <c r="C79" s="118" t="s">
        <v>186</v>
      </c>
      <c r="D79" s="215" t="str">
        <f>'Target Revenue'!E28</f>
        <v>Regulated Asset Base</v>
      </c>
      <c r="E79" s="215" t="str">
        <f>'Target Revenue'!F28</f>
        <v>Passthrough</v>
      </c>
      <c r="F79" s="70" t="s">
        <v>206</v>
      </c>
      <c r="H79" s="216">
        <f>INDEX($H$59:$K$64,MATCH($D79,$B$59:$B$64,0),0)*'Pricing Area Allocations'!H41</f>
        <v>66.192323420698742</v>
      </c>
      <c r="I79" s="216">
        <f>INDEX($H$59:$K$64,MATCH($D79,$B$59:$B$64,0),0)*'Pricing Area Allocations'!I41</f>
        <v>41.039670870344963</v>
      </c>
      <c r="J79" s="216">
        <f>INDEX($H$59:$K$64,MATCH($D79,$B$59:$B$64,0),0)*'Pricing Area Allocations'!J41</f>
        <v>23.565869186598022</v>
      </c>
      <c r="K79" s="216">
        <f>INDEX($H$59:$K$64,MATCH($D79,$B$59:$B$64,0),0)*'Pricing Area Allocations'!K41</f>
        <v>7.0989987721802622E-2</v>
      </c>
    </row>
    <row r="80" spans="1:11" ht="12" customHeight="1">
      <c r="B80" s="70" t="str">
        <f t="shared" si="2"/>
        <v>Electricity Authority levies</v>
      </c>
      <c r="C80" s="118" t="s">
        <v>186</v>
      </c>
      <c r="D80" s="215" t="str">
        <f>'Target Revenue'!E29</f>
        <v>MWh</v>
      </c>
      <c r="E80" s="215" t="str">
        <f>'Target Revenue'!F29</f>
        <v>Passthrough</v>
      </c>
      <c r="F80" s="70" t="s">
        <v>206</v>
      </c>
      <c r="H80" s="216">
        <f>INDEX($H$59:$K$64,MATCH($D80,$B$59:$B$64,0),0)*'Pricing Area Allocations'!H42</f>
        <v>75.154917171394032</v>
      </c>
      <c r="I80" s="216">
        <f>INDEX($H$59:$K$64,MATCH($D80,$B$59:$B$64,0),0)*'Pricing Area Allocations'!I42</f>
        <v>23.540560093265618</v>
      </c>
      <c r="J80" s="216">
        <f>INDEX($H$59:$K$64,MATCH($D80,$B$59:$B$64,0),0)*'Pricing Area Allocations'!J42</f>
        <v>18.626453766768275</v>
      </c>
      <c r="K80" s="216">
        <f>INDEX($H$59:$K$64,MATCH($D80,$B$59:$B$64,0),0)*'Pricing Area Allocations'!K42</f>
        <v>0.13481485728699175</v>
      </c>
    </row>
    <row r="81" spans="1:14" ht="12" customHeight="1">
      <c r="B81" s="70" t="str">
        <f t="shared" si="2"/>
        <v>Electricity Authority levies</v>
      </c>
      <c r="C81" s="118" t="s">
        <v>186</v>
      </c>
      <c r="D81" s="215" t="str">
        <f>'Target Revenue'!E30</f>
        <v>ICP Count</v>
      </c>
      <c r="E81" s="215" t="str">
        <f>'Target Revenue'!F30</f>
        <v>Passthrough</v>
      </c>
      <c r="F81" s="70" t="s">
        <v>206</v>
      </c>
      <c r="H81" s="216">
        <f>INDEX($H$59:$K$64,MATCH($D81,$B$59:$B$64,0),0)*'Pricing Area Allocations'!H43</f>
        <v>32.570716355889388</v>
      </c>
      <c r="I81" s="216">
        <f>INDEX($H$59:$K$64,MATCH($D81,$B$59:$B$64,0),0)*'Pricing Area Allocations'!I43</f>
        <v>11.996128246689068</v>
      </c>
      <c r="J81" s="216">
        <f>INDEX($H$59:$K$64,MATCH($D81,$B$59:$B$64,0),0)*'Pricing Area Allocations'!J43</f>
        <v>7.5753536184138275</v>
      </c>
      <c r="K81" s="216">
        <f>INDEX($H$59:$K$64,MATCH($D81,$B$59:$B$64,0),0)*'Pricing Area Allocations'!K43</f>
        <v>8.2916799543168385E-2</v>
      </c>
    </row>
    <row r="82" spans="1:14" ht="12" customHeight="1">
      <c r="B82" s="70" t="str">
        <f t="shared" si="2"/>
        <v>Utilities Disputes levies</v>
      </c>
      <c r="C82" s="118" t="s">
        <v>186</v>
      </c>
      <c r="D82" s="215" t="str">
        <f>'Target Revenue'!E31</f>
        <v>ICP Count</v>
      </c>
      <c r="E82" s="215" t="str">
        <f>'Target Revenue'!F31</f>
        <v>Passthrough</v>
      </c>
      <c r="F82" s="70" t="s">
        <v>206</v>
      </c>
      <c r="H82" s="216">
        <f>INDEX($H$59:$K$64,MATCH($D82,$B$59:$B$64,0),0)*'Pricing Area Allocations'!H44</f>
        <v>41.985330478135772</v>
      </c>
      <c r="I82" s="216">
        <f>INDEX($H$59:$K$64,MATCH($D82,$B$59:$B$64,0),0)*'Pricing Area Allocations'!I44</f>
        <v>15.463627001383673</v>
      </c>
      <c r="J82" s="216">
        <f>INDEX($H$59:$K$64,MATCH($D82,$B$59:$B$64,0),0)*'Pricing Area Allocations'!J44</f>
        <v>9.7650208758867585</v>
      </c>
      <c r="K82" s="216">
        <f>INDEX($H$59:$K$64,MATCH($D82,$B$59:$B$64,0),0)*'Pricing Area Allocations'!K44</f>
        <v>0.10688402407151171</v>
      </c>
    </row>
    <row r="83" spans="1:14" ht="12" customHeight="1">
      <c r="B83" s="70" t="str">
        <f t="shared" si="2"/>
        <v>Opex Incentive Amount</v>
      </c>
      <c r="C83" s="118" t="s">
        <v>186</v>
      </c>
      <c r="D83" s="215" t="str">
        <f>'Target Revenue'!E32</f>
        <v>Prior year distribution revenue</v>
      </c>
      <c r="E83" s="215" t="str">
        <f>'Target Revenue'!F32</f>
        <v>Passthrough</v>
      </c>
      <c r="F83" s="70" t="s">
        <v>206</v>
      </c>
      <c r="H83" s="216">
        <f ca="1">INDEX($H$59:$K$64,MATCH($D83,$B$59:$B$64,0),0)*'Pricing Area Allocations'!H45</f>
        <v>3581.0823384495661</v>
      </c>
      <c r="I83" s="216">
        <f ca="1">INDEX($H$59:$K$64,MATCH($D83,$B$59:$B$64,0),0)*'Pricing Area Allocations'!I45</f>
        <v>2418.7815346250422</v>
      </c>
      <c r="J83" s="216">
        <f ca="1">INDEX($H$59:$K$64,MATCH($D83,$B$59:$B$64,0),0)*'Pricing Area Allocations'!J45</f>
        <v>1095.6707628069191</v>
      </c>
      <c r="K83" s="216">
        <f ca="1">INDEX($H$59:$K$64,MATCH($D83,$B$59:$B$64,0),0)*'Pricing Area Allocations'!K45</f>
        <v>12.703981655351553</v>
      </c>
    </row>
    <row r="84" spans="1:14" ht="12" customHeight="1">
      <c r="B84" s="70" t="str">
        <f t="shared" si="2"/>
        <v>Capex Incentive Amount</v>
      </c>
      <c r="C84" s="118" t="s">
        <v>186</v>
      </c>
      <c r="D84" s="215" t="str">
        <f>'Target Revenue'!E33</f>
        <v>Regulated Asset Base</v>
      </c>
      <c r="E84" s="215" t="str">
        <f>'Target Revenue'!F33</f>
        <v>Passthrough</v>
      </c>
      <c r="F84" s="70" t="s">
        <v>206</v>
      </c>
      <c r="H84" s="216">
        <f ca="1">INDEX($H$59:$K$64,MATCH($D84,$B$59:$B$64,0),0)*'Pricing Area Allocations'!H46</f>
        <v>-289.10632272633705</v>
      </c>
      <c r="I84" s="216">
        <f ca="1">INDEX($H$59:$K$64,MATCH($D84,$B$59:$B$64,0),0)*'Pricing Area Allocations'!I46</f>
        <v>-179.24779971561478</v>
      </c>
      <c r="J84" s="216">
        <f ca="1">INDEX($H$59:$K$64,MATCH($D84,$B$59:$B$64,0),0)*'Pricing Area Allocations'!J46</f>
        <v>-102.92797457925113</v>
      </c>
      <c r="K84" s="216">
        <f ca="1">INDEX($H$59:$K$64,MATCH($D84,$B$59:$B$64,0),0)*'Pricing Area Allocations'!K46</f>
        <v>-0.31006094423058583</v>
      </c>
    </row>
    <row r="85" spans="1:14" ht="12" customHeight="1">
      <c r="B85" s="70" t="str">
        <f t="shared" si="2"/>
        <v>Transpower  - connection costs</v>
      </c>
      <c r="C85" s="118" t="s">
        <v>186</v>
      </c>
      <c r="D85" s="215" t="str">
        <f>'Target Revenue'!E34</f>
        <v>CPD</v>
      </c>
      <c r="E85" s="215" t="str">
        <f>'Target Revenue'!F34</f>
        <v>Passthrough</v>
      </c>
      <c r="F85" s="70" t="s">
        <v>206</v>
      </c>
      <c r="H85" s="216">
        <f>INDEX($H$59:$K$64,MATCH($D85,$B$59:$B$64,0),0)*'Pricing Area Allocations'!H47</f>
        <v>1630.2776114481205</v>
      </c>
      <c r="I85" s="216">
        <f>INDEX($H$59:$K$64,MATCH($D85,$B$59:$B$64,0),0)*'Pricing Area Allocations'!I47</f>
        <v>479.05823471134482</v>
      </c>
      <c r="J85" s="216">
        <f>INDEX($H$59:$K$64,MATCH($D85,$B$59:$B$64,0),0)*'Pricing Area Allocations'!J47</f>
        <v>716.45647509067737</v>
      </c>
      <c r="K85" s="216">
        <f>INDEX($H$59:$K$64,MATCH($D85,$B$59:$B$64,0),0)*'Pricing Area Allocations'!K47</f>
        <v>0</v>
      </c>
    </row>
    <row r="86" spans="1:14" ht="12" customHeight="1">
      <c r="B86" s="70" t="str">
        <f t="shared" si="2"/>
        <v>Transpower - interconnection costs</v>
      </c>
      <c r="C86" s="118" t="s">
        <v>186</v>
      </c>
      <c r="D86" s="215" t="str">
        <f>'Target Revenue'!E35</f>
        <v>CPD</v>
      </c>
      <c r="E86" s="215" t="str">
        <f>'Target Revenue'!F35</f>
        <v>Passthrough</v>
      </c>
      <c r="F86" s="70" t="s">
        <v>206</v>
      </c>
      <c r="H86" s="216">
        <f>INDEX($H$59:$K$64,MATCH($D86,$B$59:$B$64,0),0)*'Pricing Area Allocations'!H48</f>
        <v>6689.8642309149873</v>
      </c>
      <c r="I86" s="216">
        <f>INDEX($H$59:$K$64,MATCH($D86,$B$59:$B$64,0),0)*'Pricing Area Allocations'!I48</f>
        <v>1965.8213585316653</v>
      </c>
      <c r="J86" s="216">
        <f>INDEX($H$59:$K$64,MATCH($D86,$B$59:$B$64,0),0)*'Pricing Area Allocations'!J48</f>
        <v>2939.9879579154012</v>
      </c>
      <c r="K86" s="216">
        <f>INDEX($H$59:$K$64,MATCH($D86,$B$59:$B$64,0),0)*'Pricing Area Allocations'!K48</f>
        <v>0</v>
      </c>
    </row>
    <row r="87" spans="1:14" ht="12" customHeight="1">
      <c r="B87" s="70" t="str">
        <f t="shared" si="2"/>
        <v>Transpower - new investment contract</v>
      </c>
      <c r="C87" s="118" t="s">
        <v>186</v>
      </c>
      <c r="D87" s="215" t="str">
        <f>'Target Revenue'!E36</f>
        <v>CPD</v>
      </c>
      <c r="E87" s="215" t="str">
        <f>'Target Revenue'!F36</f>
        <v>Passthrough</v>
      </c>
      <c r="F87" s="70" t="s">
        <v>206</v>
      </c>
      <c r="H87" s="216">
        <f>INDEX($H$59:$K$64,MATCH($D87,$B$59:$B$64,0),0)*'Pricing Area Allocations'!H49</f>
        <v>28.732121765109639</v>
      </c>
      <c r="I87" s="216">
        <f>INDEX($H$59:$K$64,MATCH($D87,$B$59:$B$64,0),0)*'Pricing Area Allocations'!I49</f>
        <v>324.12536470891581</v>
      </c>
      <c r="J87" s="216">
        <f>INDEX($H$59:$K$64,MATCH($D87,$B$59:$B$64,0),0)*'Pricing Area Allocations'!J49</f>
        <v>0</v>
      </c>
      <c r="K87" s="216">
        <f>INDEX($H$59:$K$64,MATCH($D87,$B$59:$B$64,0),0)*'Pricing Area Allocations'!K49</f>
        <v>0</v>
      </c>
    </row>
    <row r="88" spans="1:14" ht="12" customHeight="1">
      <c r="A88" s="180" t="str">
        <f t="shared" si="1"/>
        <v>Load group Streetlighting</v>
      </c>
      <c r="B88" s="70" t="str">
        <f t="shared" si="2"/>
        <v>Distributed Generation Allowance</v>
      </c>
      <c r="C88" s="118" t="s">
        <v>186</v>
      </c>
      <c r="D88" s="215" t="str">
        <f>'Target Revenue'!E37</f>
        <v>CPD</v>
      </c>
      <c r="E88" s="215" t="str">
        <f>'Target Revenue'!F37</f>
        <v>Passthrough</v>
      </c>
      <c r="F88" s="70" t="s">
        <v>206</v>
      </c>
      <c r="H88" s="216">
        <f>INDEX($H$59:$K$64,MATCH($D88,$B$59:$B$64,0),0)*'Pricing Area Allocations'!H50</f>
        <v>2843.5500414011244</v>
      </c>
      <c r="I88" s="216">
        <f>INDEX($H$59:$K$64,MATCH($D88,$B$59:$B$64,0),0)*'Pricing Area Allocations'!I50</f>
        <v>211.41366641592651</v>
      </c>
      <c r="J88" s="216">
        <f>INDEX($H$59:$K$64,MATCH($D88,$B$59:$B$64,0),0)*'Pricing Area Allocations'!J50</f>
        <v>100.22582432278969</v>
      </c>
      <c r="K88" s="216">
        <f>INDEX($H$59:$K$64,MATCH($D88,$B$59:$B$64,0),0)*'Pricing Area Allocations'!K50</f>
        <v>0</v>
      </c>
    </row>
    <row r="89" spans="1:14" ht="12" customHeight="1">
      <c r="A89" s="180" t="str">
        <f t="shared" si="1"/>
        <v>Load group Streetlighting</v>
      </c>
      <c r="B89" s="70" t="str">
        <f t="shared" si="2"/>
        <v>CPP recoverable costs</v>
      </c>
      <c r="C89" s="118" t="s">
        <v>186</v>
      </c>
      <c r="D89" s="215" t="str">
        <f>'Target Revenue'!E38</f>
        <v>ICP Count</v>
      </c>
      <c r="E89" s="215" t="str">
        <f>'Target Revenue'!F38</f>
        <v>Passthrough</v>
      </c>
      <c r="F89" s="70" t="s">
        <v>206</v>
      </c>
      <c r="H89" s="216">
        <f ca="1">INDEX($H$59:$K$64,MATCH($D89,$B$59:$B$64,0),0)*'Pricing Area Allocations'!H51</f>
        <v>0</v>
      </c>
      <c r="I89" s="216">
        <f ca="1">INDEX($H$59:$K$64,MATCH($D89,$B$59:$B$64,0),0)*'Pricing Area Allocations'!I51</f>
        <v>0</v>
      </c>
      <c r="J89" s="216">
        <f ca="1">INDEX($H$59:$K$64,MATCH($D89,$B$59:$B$64,0),0)*'Pricing Area Allocations'!J51</f>
        <v>0</v>
      </c>
      <c r="K89" s="216">
        <f ca="1">INDEX($H$59:$K$64,MATCH($D89,$B$59:$B$64,0),0)*'Pricing Area Allocations'!K51</f>
        <v>0</v>
      </c>
    </row>
    <row r="90" spans="1:14" ht="12" customHeight="1">
      <c r="A90" s="180" t="str">
        <f t="shared" si="1"/>
        <v>Load group Streetlighting</v>
      </c>
      <c r="B90" s="70" t="str">
        <f t="shared" si="2"/>
        <v>Quality Incentive Adjustments</v>
      </c>
      <c r="C90" s="118" t="s">
        <v>186</v>
      </c>
      <c r="D90" s="215" t="str">
        <f>'Target Revenue'!E39</f>
        <v>ICP Count</v>
      </c>
      <c r="E90" s="215" t="str">
        <f>'Target Revenue'!F39</f>
        <v>Passthrough</v>
      </c>
      <c r="F90" s="70" t="s">
        <v>206</v>
      </c>
      <c r="H90" s="216">
        <f ca="1">INDEX($H$59:$K$64,MATCH($D90,$B$59:$B$64,0),0)*'Pricing Area Allocations'!H52</f>
        <v>-5.6163655558449657</v>
      </c>
      <c r="I90" s="216">
        <f ca="1">INDEX($H$59:$K$64,MATCH($D90,$B$59:$B$64,0),0)*'Pricing Area Allocations'!I52</f>
        <v>-2.0685649266053292</v>
      </c>
      <c r="J90" s="216">
        <f ca="1">INDEX($H$59:$K$64,MATCH($D90,$B$59:$B$64,0),0)*'Pricing Area Allocations'!J52</f>
        <v>-1.3062640278131878</v>
      </c>
      <c r="K90" s="216">
        <f ca="1">INDEX($H$59:$K$64,MATCH($D90,$B$59:$B$64,0),0)*'Pricing Area Allocations'!K52</f>
        <v>-1.429784509086939E-2</v>
      </c>
    </row>
    <row r="91" spans="1:14" ht="12" customHeight="1">
      <c r="A91" s="180" t="str">
        <f t="shared" si="1"/>
        <v>Load group Streetlighting</v>
      </c>
      <c r="B91" s="70" t="str">
        <f t="shared" si="2"/>
        <v>Capex Wash-up Adjustment</v>
      </c>
      <c r="C91" s="118" t="s">
        <v>186</v>
      </c>
      <c r="D91" s="215" t="str">
        <f>'Target Revenue'!E40</f>
        <v>Regulated Asset Base</v>
      </c>
      <c r="E91" s="215" t="str">
        <f>'Target Revenue'!F40</f>
        <v>Passthrough</v>
      </c>
      <c r="F91" s="70" t="s">
        <v>206</v>
      </c>
      <c r="H91" s="216">
        <f ca="1">INDEX($H$59:$K$64,MATCH($D91,$B$59:$B$64,0),0)*'Pricing Area Allocations'!H53</f>
        <v>-152.00861750489366</v>
      </c>
      <c r="I91" s="216">
        <f ca="1">INDEX($H$59:$K$64,MATCH($D91,$B$59:$B$64,0),0)*'Pricing Area Allocations'!I53</f>
        <v>-94.2463311373387</v>
      </c>
      <c r="J91" s="216">
        <f ca="1">INDEX($H$59:$K$64,MATCH($D91,$B$59:$B$64,0),0)*'Pricing Area Allocations'!J53</f>
        <v>-54.118287593388175</v>
      </c>
      <c r="K91" s="216">
        <f ca="1">INDEX($H$59:$K$64,MATCH($D91,$B$59:$B$64,0),0)*'Pricing Area Allocations'!K53</f>
        <v>-0.16302630475282806</v>
      </c>
    </row>
    <row r="92" spans="1:14" ht="12" customHeight="1">
      <c r="A92" s="180" t="str">
        <f t="shared" si="1"/>
        <v>Load group Streetlighting</v>
      </c>
      <c r="B92" s="70" t="str">
        <f t="shared" si="2"/>
        <v>Fire and Emergency Management New Zealand (FENZ) levies</v>
      </c>
      <c r="C92" s="118" t="s">
        <v>186</v>
      </c>
      <c r="D92" s="215" t="str">
        <f>'Target Revenue'!E41</f>
        <v>Regulated Asset Base</v>
      </c>
      <c r="E92" s="215" t="str">
        <f>'Target Revenue'!F41</f>
        <v>Passthrough</v>
      </c>
      <c r="F92" s="70" t="s">
        <v>206</v>
      </c>
      <c r="H92" s="216">
        <f>INDEX($H$59:$K$64,MATCH($D92,$B$59:$B$64,0),0)*'Pricing Area Allocations'!H54</f>
        <v>8.2718587847553202</v>
      </c>
      <c r="I92" s="216">
        <f>INDEX($H$59:$K$64,MATCH($D92,$B$59:$B$64,0),0)*'Pricing Area Allocations'!I54</f>
        <v>5.1286062260533116</v>
      </c>
      <c r="J92" s="216">
        <f>INDEX($H$59:$K$64,MATCH($D92,$B$59:$B$64,0),0)*'Pricing Area Allocations'!J54</f>
        <v>2.9449569372662125</v>
      </c>
      <c r="K92" s="216">
        <f>INDEX($H$59:$K$64,MATCH($D92,$B$59:$B$64,0),0)*'Pricing Area Allocations'!K54</f>
        <v>8.8714086954475788E-3</v>
      </c>
    </row>
    <row r="93" spans="1:14" s="88" customFormat="1" ht="12" customHeight="1">
      <c r="A93" s="217"/>
      <c r="B93" s="218" t="s">
        <v>7</v>
      </c>
      <c r="C93" s="163"/>
      <c r="H93" s="219">
        <f ca="1">SUM(H68:H92)</f>
        <v>44121.921240810414</v>
      </c>
      <c r="I93" s="220">
        <f ca="1">SUM(I68:I92)</f>
        <v>21482.376834749557</v>
      </c>
      <c r="J93" s="220">
        <f ca="1">SUM(J68:J92)</f>
        <v>13323.025920397147</v>
      </c>
      <c r="K93" s="220">
        <f ca="1">SUM(K68:K92)</f>
        <v>66.871552963301426</v>
      </c>
      <c r="L93" s="70"/>
      <c r="M93" s="70"/>
      <c r="N93" s="70"/>
    </row>
    <row r="94" spans="1:14" s="88" customFormat="1" ht="12" customHeight="1">
      <c r="A94" s="217"/>
      <c r="B94" s="218"/>
      <c r="C94" s="163"/>
      <c r="H94" s="219"/>
      <c r="I94" s="220"/>
      <c r="J94" s="220"/>
      <c r="K94" s="220"/>
      <c r="L94" s="70"/>
      <c r="M94" s="70"/>
      <c r="N94" s="70"/>
    </row>
    <row r="95" spans="1:14" s="88" customFormat="1" ht="12" customHeight="1">
      <c r="A95" s="217"/>
      <c r="B95" s="218"/>
      <c r="C95" s="163"/>
      <c r="D95" s="221"/>
      <c r="E95" s="88" t="str">
        <f>'Name labels'!$B$62</f>
        <v>Distribution</v>
      </c>
      <c r="H95" s="219">
        <f ca="1">SUMIF($E68:H92,$E95,H68:H92)</f>
        <v>29306.824025437742</v>
      </c>
      <c r="I95" s="219">
        <f ca="1">SUMIF($E68:I92,$E95,I68:I92)</f>
        <v>16097.797902544706</v>
      </c>
      <c r="J95" s="219">
        <f ca="1">SUMIF($E68:J92,$E95,J68:J92)</f>
        <v>8472.5178340366801</v>
      </c>
      <c r="K95" s="219">
        <f ca="1">SUMIF($E68:K92,$E95,K68:K92)</f>
        <v>53.967186738552513</v>
      </c>
      <c r="L95" s="70"/>
      <c r="M95" s="70"/>
      <c r="N95" s="70"/>
    </row>
    <row r="96" spans="1:14" s="88" customFormat="1" ht="12" customHeight="1">
      <c r="A96" s="217"/>
      <c r="B96" s="218"/>
      <c r="C96" s="163"/>
      <c r="E96" s="88" t="str">
        <f>'Name labels'!$B$63</f>
        <v>Passthrough</v>
      </c>
      <c r="H96" s="219">
        <f ca="1">SUMIF($E68:H92,$E96,H68:H92)</f>
        <v>14815.097215372665</v>
      </c>
      <c r="I96" s="219">
        <f ca="1">SUMIF($E68:I92,$E96,I68:I92)</f>
        <v>5384.578932204854</v>
      </c>
      <c r="J96" s="219">
        <f ca="1">SUMIF($E68:J92,$E96,J68:J92)</f>
        <v>4850.5080863604699</v>
      </c>
      <c r="K96" s="219">
        <f ca="1">SUMIF($E68:K92,$E96,K68:K92)</f>
        <v>12.90436622474893</v>
      </c>
      <c r="L96" s="70"/>
      <c r="M96" s="70"/>
      <c r="N96" s="70"/>
    </row>
    <row r="97" spans="1:14" s="88" customFormat="1" ht="12" customHeight="1">
      <c r="A97" s="217"/>
      <c r="B97" s="81"/>
      <c r="C97" s="163"/>
      <c r="H97" s="70"/>
      <c r="I97" s="70"/>
      <c r="J97" s="70"/>
      <c r="K97" s="70"/>
      <c r="L97" s="70"/>
      <c r="M97" s="70"/>
      <c r="N97" s="70"/>
    </row>
    <row r="98" spans="1:14" ht="22.5">
      <c r="A98" s="211"/>
      <c r="B98" s="212" t="str">
        <f>'Name labels'!C$12</f>
        <v>Load group 2</v>
      </c>
      <c r="C98" s="209" t="s">
        <v>178</v>
      </c>
      <c r="D98" s="210" t="s">
        <v>205</v>
      </c>
      <c r="E98" s="213" t="s">
        <v>98</v>
      </c>
      <c r="F98" s="214"/>
      <c r="G98" s="214"/>
      <c r="H98" s="214"/>
      <c r="I98" s="214"/>
      <c r="J98" s="214"/>
      <c r="K98" s="214"/>
    </row>
    <row r="99" spans="1:14" ht="12" customHeight="1">
      <c r="H99" s="214"/>
    </row>
    <row r="100" spans="1:14" ht="12" customHeight="1">
      <c r="B100" s="161" t="s">
        <v>207</v>
      </c>
    </row>
    <row r="102" spans="1:14" ht="12" customHeight="1">
      <c r="B102" s="70" t="str">
        <f>'Name labels'!C$47</f>
        <v>ICP Count</v>
      </c>
      <c r="C102" s="198" t="s">
        <v>6</v>
      </c>
      <c r="H102" s="82">
        <f>'Allocator Data'!I$28</f>
        <v>5.5923063095452093E-2</v>
      </c>
      <c r="I102" s="82">
        <f>'Allocator Data'!J$28</f>
        <v>9.0423788339967226E-2</v>
      </c>
      <c r="J102" s="82">
        <f>'Allocator Data'!K$28</f>
        <v>0.12152080344332855</v>
      </c>
      <c r="K102" s="82">
        <f>'Allocator Data'!L$28</f>
        <v>2.1897810218978103E-2</v>
      </c>
    </row>
    <row r="103" spans="1:14" ht="12" customHeight="1">
      <c r="B103" s="70" t="str">
        <f>'Name labels'!C$48</f>
        <v>CPD</v>
      </c>
      <c r="C103" s="198" t="s">
        <v>6</v>
      </c>
      <c r="H103" s="82">
        <f>'Allocator Data'!I$68</f>
        <v>0.14516923716117536</v>
      </c>
      <c r="I103" s="82">
        <f>'Allocator Data'!J$68</f>
        <v>0.1662170361221256</v>
      </c>
      <c r="J103" s="82">
        <f>'Allocator Data'!K$68</f>
        <v>0.20563156591878162</v>
      </c>
      <c r="K103" s="82">
        <f>'Allocator Data'!L$68</f>
        <v>6.3444457261506507E-3</v>
      </c>
    </row>
    <row r="104" spans="1:14" ht="12" customHeight="1">
      <c r="B104" s="70" t="str">
        <f>'Name labels'!C$49</f>
        <v>Prior year distribution revenue</v>
      </c>
      <c r="C104" s="198" t="s">
        <v>6</v>
      </c>
      <c r="H104" s="82">
        <f>'Allocator Data'!I$116</f>
        <v>0.16975839089580699</v>
      </c>
      <c r="I104" s="82">
        <f>'Allocator Data'!J$116</f>
        <v>0.17333820037954972</v>
      </c>
      <c r="J104" s="82">
        <f>'Allocator Data'!K$116</f>
        <v>0.22988591196655489</v>
      </c>
      <c r="K104" s="82">
        <f>'Allocator Data'!L$116</f>
        <v>4.008620473875759E-2</v>
      </c>
    </row>
    <row r="105" spans="1:14" ht="12" customHeight="1">
      <c r="B105" s="70" t="str">
        <f>'Name labels'!C$50</f>
        <v>MWh</v>
      </c>
      <c r="C105" s="198" t="s">
        <v>6</v>
      </c>
      <c r="H105" s="82">
        <f>'Allocator Data'!I$140</f>
        <v>0.1610437902925308</v>
      </c>
      <c r="I105" s="82">
        <f>'Allocator Data'!J$140</f>
        <v>0.24561274432520872</v>
      </c>
      <c r="J105" s="82">
        <f>'Allocator Data'!K$140</f>
        <v>0.25551125245679723</v>
      </c>
      <c r="K105" s="82">
        <f>'Allocator Data'!L$140</f>
        <v>4.4117647058823532E-2</v>
      </c>
    </row>
    <row r="106" spans="1:14" ht="12" customHeight="1">
      <c r="B106" s="70" t="str">
        <f>'Name labels'!C$51</f>
        <v>Regulated Asset Base</v>
      </c>
      <c r="C106" s="198" t="s">
        <v>6</v>
      </c>
      <c r="H106" s="82">
        <f>'RAB Allocations'!I$29</f>
        <v>0.11351281697225263</v>
      </c>
      <c r="I106" s="82">
        <f>'RAB Allocations'!J$29</f>
        <v>0.10551868268286994</v>
      </c>
      <c r="J106" s="82">
        <f>'RAB Allocations'!K$29</f>
        <v>0.14114143084135208</v>
      </c>
      <c r="K106" s="82">
        <f>'RAB Allocations'!L$29</f>
        <v>6.3444457261506498E-3</v>
      </c>
    </row>
    <row r="107" spans="1:14" ht="12" customHeight="1">
      <c r="B107" s="70" t="str">
        <f>'Name labels'!C$52</f>
        <v>Regulated Asset Base (Depreciation)</v>
      </c>
      <c r="C107" s="198"/>
      <c r="H107" s="82">
        <f>'RAB - Depreciation Allocations'!I$29</f>
        <v>0.11204559249608327</v>
      </c>
      <c r="I107" s="82">
        <f>'RAB - Depreciation Allocations'!J$29</f>
        <v>9.9278405370165801E-2</v>
      </c>
      <c r="J107" s="82">
        <f>'RAB - Depreciation Allocations'!K$29</f>
        <v>0.14019291236271772</v>
      </c>
      <c r="K107" s="82">
        <f>'RAB - Depreciation Allocations'!L$29</f>
        <v>6.3444457261506507E-3</v>
      </c>
    </row>
    <row r="109" spans="1:14" ht="12" customHeight="1">
      <c r="B109" s="161" t="str">
        <f>B98&amp;" Allocation"</f>
        <v>Load group 2 Allocation</v>
      </c>
    </row>
    <row r="110" spans="1:14" ht="12" customHeight="1">
      <c r="B110" s="88"/>
    </row>
    <row r="111" spans="1:14" ht="12" customHeight="1">
      <c r="A111" s="180" t="str">
        <f>$B$12</f>
        <v>Load group Streetlighting</v>
      </c>
      <c r="B111" s="70" t="str">
        <f>B68</f>
        <v>Service interruptions and emergencies</v>
      </c>
      <c r="C111" s="118" t="s">
        <v>186</v>
      </c>
      <c r="D111" s="215" t="str">
        <f>'Target Revenue'!E17</f>
        <v>CPD</v>
      </c>
      <c r="E111" s="215" t="str">
        <f>'Target Revenue'!F17</f>
        <v>Distribution</v>
      </c>
      <c r="F111" s="70" t="s">
        <v>206</v>
      </c>
      <c r="H111" s="216">
        <f ca="1">INDEX($H$102:$K$107,MATCH($D111,$B$102:$B$107,0),0)*'Pricing Area Allocations'!H30</f>
        <v>112.44267295053106</v>
      </c>
      <c r="I111" s="216">
        <f ca="1">INDEX($H$102:$K$107,MATCH($D111,$B$102:$B$107,0),0)*'Pricing Area Allocations'!I30</f>
        <v>149.32966698890701</v>
      </c>
      <c r="J111" s="216">
        <f ca="1">INDEX($H$102:$K$107,MATCH($D111,$B$102:$B$107,0),0)*'Pricing Area Allocations'!J30</f>
        <v>67.3725272592322</v>
      </c>
      <c r="K111" s="216">
        <f ca="1">INDEX($H$102:$K$107,MATCH($D111,$B$102:$B$107,0),0)*'Pricing Area Allocations'!K30</f>
        <v>1.2373069741319317E-2</v>
      </c>
    </row>
    <row r="112" spans="1:14" ht="12" customHeight="1">
      <c r="A112" s="180" t="str">
        <f t="shared" ref="A112:A135" si="3">$B$12</f>
        <v>Load group Streetlighting</v>
      </c>
      <c r="B112" s="70" t="str">
        <f t="shared" ref="B112:B135" si="4">B69</f>
        <v>Service interruptions and emergencies</v>
      </c>
      <c r="C112" s="118" t="s">
        <v>186</v>
      </c>
      <c r="D112" s="215" t="str">
        <f>'Target Revenue'!E18</f>
        <v>ICP Count</v>
      </c>
      <c r="E112" s="215" t="str">
        <f>'Target Revenue'!F18</f>
        <v>Distribution</v>
      </c>
      <c r="F112" s="70" t="s">
        <v>206</v>
      </c>
      <c r="H112" s="216">
        <f ca="1">INDEX($H$102:$K$107,MATCH($D112,$B$102:$B$107,0),0)*'Pricing Area Allocations'!H31</f>
        <v>68.414248267457253</v>
      </c>
      <c r="I112" s="216">
        <f ca="1">INDEX($H$102:$K$107,MATCH($D112,$B$102:$B$107,0),0)*'Pricing Area Allocations'!I31</f>
        <v>42.464774479093528</v>
      </c>
      <c r="J112" s="216">
        <f ca="1">INDEX($H$102:$K$107,MATCH($D112,$B$102:$B$107,0),0)*'Pricing Area Allocations'!J31</f>
        <v>37.252888641939116</v>
      </c>
      <c r="K112" s="216">
        <f ca="1">INDEX($H$102:$K$107,MATCH($D112,$B$102:$B$107,0),0)*'Pricing Area Allocations'!K31</f>
        <v>6.5973238444992532E-2</v>
      </c>
    </row>
    <row r="113" spans="1:11" ht="12" customHeight="1">
      <c r="A113" s="180" t="str">
        <f t="shared" si="3"/>
        <v>Load group Streetlighting</v>
      </c>
      <c r="B113" s="70" t="str">
        <f t="shared" si="4"/>
        <v>Vegetation management</v>
      </c>
      <c r="C113" s="118" t="s">
        <v>186</v>
      </c>
      <c r="D113" s="215" t="str">
        <f>'Target Revenue'!E19</f>
        <v>CPD</v>
      </c>
      <c r="E113" s="215" t="str">
        <f>'Target Revenue'!F19</f>
        <v>Distribution</v>
      </c>
      <c r="F113" s="70" t="s">
        <v>206</v>
      </c>
      <c r="H113" s="216">
        <f ca="1">INDEX($H$102:$K$107,MATCH($D113,$B$102:$B$107,0),0)*'Pricing Area Allocations'!H32</f>
        <v>278.83070450069476</v>
      </c>
      <c r="I113" s="216">
        <f ca="1">INDEX($H$102:$K$107,MATCH($D113,$B$102:$B$107,0),0)*'Pricing Area Allocations'!I32</f>
        <v>329.98758698662823</v>
      </c>
      <c r="J113" s="216">
        <f ca="1">INDEX($H$102:$K$107,MATCH($D113,$B$102:$B$107,0),0)*'Pricing Area Allocations'!J32</f>
        <v>96.17894033014727</v>
      </c>
      <c r="K113" s="216">
        <f ca="1">INDEX($H$102:$K$107,MATCH($D113,$B$102:$B$107,0),0)*'Pricing Area Allocations'!K32</f>
        <v>0</v>
      </c>
    </row>
    <row r="114" spans="1:11" ht="12" customHeight="1">
      <c r="B114" s="70" t="str">
        <f t="shared" si="4"/>
        <v>Routine and corrective maintenance and inspection</v>
      </c>
      <c r="C114" s="118" t="s">
        <v>186</v>
      </c>
      <c r="D114" s="215" t="str">
        <f>'Target Revenue'!E20</f>
        <v>CPD</v>
      </c>
      <c r="E114" s="215" t="str">
        <f>'Target Revenue'!F20</f>
        <v>Distribution</v>
      </c>
      <c r="F114" s="70" t="s">
        <v>206</v>
      </c>
      <c r="H114" s="216">
        <f ca="1">INDEX($H$102:$K$107,MATCH($D114,$B$102:$B$107,0),0)*'Pricing Area Allocations'!H33</f>
        <v>472.73187696784191</v>
      </c>
      <c r="I114" s="216">
        <f ca="1">INDEX($H$102:$K$107,MATCH($D114,$B$102:$B$107,0),0)*'Pricing Area Allocations'!I33</f>
        <v>627.8123056867031</v>
      </c>
      <c r="J114" s="216">
        <f ca="1">INDEX($H$102:$K$107,MATCH($D114,$B$102:$B$107,0),0)*'Pricing Area Allocations'!J33</f>
        <v>283.24781358884894</v>
      </c>
      <c r="K114" s="216">
        <f ca="1">INDEX($H$102:$K$107,MATCH($D114,$B$102:$B$107,0),0)*'Pricing Area Allocations'!K33</f>
        <v>5.201890287009818E-2</v>
      </c>
    </row>
    <row r="115" spans="1:11" ht="12" customHeight="1">
      <c r="B115" s="70" t="str">
        <f t="shared" si="4"/>
        <v>System operations and network support</v>
      </c>
      <c r="C115" s="118" t="s">
        <v>186</v>
      </c>
      <c r="D115" s="215" t="str">
        <f>'Target Revenue'!E21</f>
        <v>ICP Count</v>
      </c>
      <c r="E115" s="215" t="str">
        <f>'Target Revenue'!F21</f>
        <v>Distribution</v>
      </c>
      <c r="F115" s="70" t="s">
        <v>206</v>
      </c>
      <c r="H115" s="216">
        <f ca="1">INDEX($H$102:$K$107,MATCH($D115,$B$102:$B$107,0),0)*'Pricing Area Allocations'!H34</f>
        <v>455.13140121510173</v>
      </c>
      <c r="I115" s="216">
        <f ca="1">INDEX($H$102:$K$107,MATCH($D115,$B$102:$B$107,0),0)*'Pricing Area Allocations'!I34</f>
        <v>282.50039721837402</v>
      </c>
      <c r="J115" s="216">
        <f ca="1">INDEX($H$102:$K$107,MATCH($D115,$B$102:$B$107,0),0)*'Pricing Area Allocations'!J34</f>
        <v>247.82789895801429</v>
      </c>
      <c r="K115" s="216">
        <f ca="1">INDEX($H$102:$K$107,MATCH($D115,$B$102:$B$107,0),0)*'Pricing Area Allocations'!K34</f>
        <v>0.43889238304252826</v>
      </c>
    </row>
    <row r="116" spans="1:11" ht="12" customHeight="1">
      <c r="B116" s="70" t="str">
        <f t="shared" si="4"/>
        <v>Business support</v>
      </c>
      <c r="C116" s="118" t="s">
        <v>186</v>
      </c>
      <c r="D116" s="215" t="str">
        <f>'Target Revenue'!E22</f>
        <v>ICP Count</v>
      </c>
      <c r="E116" s="215" t="str">
        <f>'Target Revenue'!F22</f>
        <v>Distribution</v>
      </c>
      <c r="F116" s="70" t="s">
        <v>206</v>
      </c>
      <c r="H116" s="216">
        <f ca="1">INDEX($H$102:$K$107,MATCH($D116,$B$102:$B$107,0),0)*'Pricing Area Allocations'!H35</f>
        <v>452.04766241139606</v>
      </c>
      <c r="I116" s="216">
        <f ca="1">INDEX($H$102:$K$107,MATCH($D116,$B$102:$B$107,0),0)*'Pricing Area Allocations'!I35</f>
        <v>280.58631826306845</v>
      </c>
      <c r="J116" s="216">
        <f ca="1">INDEX($H$102:$K$107,MATCH($D116,$B$102:$B$107,0),0)*'Pricing Area Allocations'!J35</f>
        <v>246.14874320954837</v>
      </c>
      <c r="K116" s="216">
        <f ca="1">INDEX($H$102:$K$107,MATCH($D116,$B$102:$B$107,0),0)*'Pricing Area Allocations'!K35</f>
        <v>0.43591867156354497</v>
      </c>
    </row>
    <row r="117" spans="1:11" ht="12" customHeight="1">
      <c r="B117" s="70" t="str">
        <f t="shared" si="4"/>
        <v>Depreciation</v>
      </c>
      <c r="C117" s="118" t="s">
        <v>186</v>
      </c>
      <c r="D117" s="215" t="str">
        <f>'Target Revenue'!E23</f>
        <v>Regulated Asset Base (Depreciation)</v>
      </c>
      <c r="E117" s="215" t="str">
        <f>'Target Revenue'!F23</f>
        <v>Distribution</v>
      </c>
      <c r="F117" s="70" t="s">
        <v>206</v>
      </c>
      <c r="H117" s="216">
        <f ca="1">INDEX($H$102:$K$107,MATCH($D117,$B$102:$B$107,0),0)*'Pricing Area Allocations'!H36</f>
        <v>879.66792413629298</v>
      </c>
      <c r="I117" s="216">
        <f ca="1">INDEX($H$102:$K$107,MATCH($D117,$B$102:$B$107,0),0)*'Pricing Area Allocations'!I36</f>
        <v>544.28482477483351</v>
      </c>
      <c r="J117" s="216">
        <f ca="1">INDEX($H$102:$K$107,MATCH($D117,$B$102:$B$107,0),0)*'Pricing Area Allocations'!J36</f>
        <v>483.81727545551286</v>
      </c>
      <c r="K117" s="216">
        <f ca="1">INDEX($H$102:$K$107,MATCH($D117,$B$102:$B$107,0),0)*'Pricing Area Allocations'!K36</f>
        <v>8.6813125605436525E-2</v>
      </c>
    </row>
    <row r="118" spans="1:11" ht="12" customHeight="1">
      <c r="B118" s="70" t="str">
        <f t="shared" si="4"/>
        <v>Asset revaluations and other regulatory revenue</v>
      </c>
      <c r="C118" s="118" t="s">
        <v>186</v>
      </c>
      <c r="D118" s="215" t="str">
        <f>'Target Revenue'!E24</f>
        <v>Regulated Asset Base</v>
      </c>
      <c r="E118" s="215" t="str">
        <f>'Target Revenue'!F24</f>
        <v>Distribution</v>
      </c>
      <c r="F118" s="70" t="s">
        <v>206</v>
      </c>
      <c r="H118" s="216">
        <f ca="1">INDEX($H$102:$K$107,MATCH($D118,$B$102:$B$107,0),0)*'Pricing Area Allocations'!H37</f>
        <v>-553.66534882753842</v>
      </c>
      <c r="I118" s="216">
        <f ca="1">INDEX($H$102:$K$107,MATCH($D118,$B$102:$B$107,0),0)*'Pricing Area Allocations'!I37</f>
        <v>-365.66345103977608</v>
      </c>
      <c r="J118" s="216">
        <f ca="1">INDEX($H$102:$K$107,MATCH($D118,$B$102:$B$107,0),0)*'Pricing Area Allocations'!J37</f>
        <v>-288.99704254213208</v>
      </c>
      <c r="K118" s="216">
        <f ca="1">INDEX($H$102:$K$107,MATCH($D118,$B$102:$B$107,0),0)*'Pricing Area Allocations'!K37</f>
        <v>-5.9705642379143414E-2</v>
      </c>
    </row>
    <row r="119" spans="1:11" ht="12" customHeight="1">
      <c r="B119" s="70" t="str">
        <f t="shared" si="4"/>
        <v>Tax</v>
      </c>
      <c r="C119" s="118" t="s">
        <v>186</v>
      </c>
      <c r="D119" s="215" t="str">
        <f>'Target Revenue'!E25</f>
        <v>Regulated Asset Base</v>
      </c>
      <c r="E119" s="215" t="str">
        <f>'Target Revenue'!F25</f>
        <v>Distribution</v>
      </c>
      <c r="F119" s="70" t="s">
        <v>206</v>
      </c>
      <c r="H119" s="216">
        <f ca="1">INDEX($H$102:$K$107,MATCH($D119,$B$102:$B$107,0),0)*'Pricing Area Allocations'!H38</f>
        <v>251.70123092661086</v>
      </c>
      <c r="I119" s="216">
        <f ca="1">INDEX($H$102:$K$107,MATCH($D119,$B$102:$B$107,0),0)*'Pricing Area Allocations'!I38</f>
        <v>166.23388284364734</v>
      </c>
      <c r="J119" s="216">
        <f ca="1">INDEX($H$102:$K$107,MATCH($D119,$B$102:$B$107,0),0)*'Pricing Area Allocations'!J38</f>
        <v>131.38064626230184</v>
      </c>
      <c r="K119" s="216">
        <f ca="1">INDEX($H$102:$K$107,MATCH($D119,$B$102:$B$107,0),0)*'Pricing Area Allocations'!K38</f>
        <v>2.7142720258578976E-2</v>
      </c>
    </row>
    <row r="120" spans="1:11" ht="12" customHeight="1">
      <c r="B120" s="70" t="str">
        <f t="shared" si="4"/>
        <v>Return on capital</v>
      </c>
      <c r="C120" s="118" t="s">
        <v>186</v>
      </c>
      <c r="D120" s="215" t="str">
        <f>'Target Revenue'!E26</f>
        <v>Regulated Asset Base</v>
      </c>
      <c r="E120" s="215" t="str">
        <f>'Target Revenue'!F26</f>
        <v>Distribution</v>
      </c>
      <c r="F120" s="70" t="s">
        <v>206</v>
      </c>
      <c r="H120" s="216">
        <f ca="1">INDEX($H$102:$K$107,MATCH($D120,$B$102:$B$107,0),0)*'Pricing Area Allocations'!H39</f>
        <v>1514.8097314271129</v>
      </c>
      <c r="I120" s="216">
        <f ca="1">INDEX($H$102:$K$107,MATCH($D120,$B$102:$B$107,0),0)*'Pricing Area Allocations'!I39</f>
        <v>1000.4428762523344</v>
      </c>
      <c r="J120" s="216">
        <f ca="1">INDEX($H$102:$K$107,MATCH($D120,$B$102:$B$107,0),0)*'Pricing Area Allocations'!J39</f>
        <v>790.68616687594101</v>
      </c>
      <c r="K120" s="216">
        <f ca="1">INDEX($H$102:$K$107,MATCH($D120,$B$102:$B$107,0),0)*'Pricing Area Allocations'!K39</f>
        <v>0.16335262499009226</v>
      </c>
    </row>
    <row r="121" spans="1:11" ht="12" customHeight="1">
      <c r="B121" s="70" t="str">
        <f t="shared" si="4"/>
        <v>Local Authority rates</v>
      </c>
      <c r="C121" s="118" t="s">
        <v>186</v>
      </c>
      <c r="D121" s="215" t="str">
        <f>'Target Revenue'!E27</f>
        <v>Regulated Asset Base</v>
      </c>
      <c r="E121" s="215" t="str">
        <f>'Target Revenue'!F27</f>
        <v>Passthrough</v>
      </c>
      <c r="F121" s="70" t="s">
        <v>206</v>
      </c>
      <c r="H121" s="216">
        <f>INDEX($H$102:$K$107,MATCH($D121,$B$102:$B$107,0),0)*'Pricing Area Allocations'!H40</f>
        <v>60.429679533876339</v>
      </c>
      <c r="I121" s="216">
        <f>INDEX($H$102:$K$107,MATCH($D121,$B$102:$B$107,0),0)*'Pricing Area Allocations'!I40</f>
        <v>39.910254832414907</v>
      </c>
      <c r="J121" s="216">
        <f>INDEX($H$102:$K$107,MATCH($D121,$B$102:$B$107,0),0)*'Pricing Area Allocations'!J40</f>
        <v>31.542516980774508</v>
      </c>
      <c r="K121" s="216">
        <f>INDEX($H$102:$K$107,MATCH($D121,$B$102:$B$107,0),0)*'Pricing Area Allocations'!K40</f>
        <v>6.5165588617316908E-3</v>
      </c>
    </row>
    <row r="122" spans="1:11" ht="12" customHeight="1">
      <c r="B122" s="70" t="str">
        <f t="shared" si="4"/>
        <v>Commerce Act levies</v>
      </c>
      <c r="C122" s="118" t="s">
        <v>186</v>
      </c>
      <c r="D122" s="215" t="str">
        <f>'Target Revenue'!E28</f>
        <v>Regulated Asset Base</v>
      </c>
      <c r="E122" s="215" t="str">
        <f>'Target Revenue'!F28</f>
        <v>Passthrough</v>
      </c>
      <c r="F122" s="70" t="s">
        <v>206</v>
      </c>
      <c r="H122" s="216">
        <f>INDEX($H$102:$K$107,MATCH($D122,$B$102:$B$107,0),0)*'Pricing Area Allocations'!H41</f>
        <v>15.143009093183487</v>
      </c>
      <c r="I122" s="216">
        <f>INDEX($H$102:$K$107,MATCH($D122,$B$102:$B$107,0),0)*'Pricing Area Allocations'!I41</f>
        <v>10.001068291281101</v>
      </c>
      <c r="J122" s="216">
        <f>INDEX($H$102:$K$107,MATCH($D122,$B$102:$B$107,0),0)*'Pricing Area Allocations'!J41</f>
        <v>7.9042057668698593</v>
      </c>
      <c r="K122" s="216">
        <f>INDEX($H$102:$K$107,MATCH($D122,$B$102:$B$107,0),0)*'Pricing Area Allocations'!K41</f>
        <v>1.6329775511079636E-3</v>
      </c>
    </row>
    <row r="123" spans="1:11" ht="12" customHeight="1">
      <c r="B123" s="70" t="str">
        <f t="shared" si="4"/>
        <v>Electricity Authority levies</v>
      </c>
      <c r="C123" s="118" t="s">
        <v>186</v>
      </c>
      <c r="D123" s="215" t="str">
        <f>'Target Revenue'!E29</f>
        <v>MWh</v>
      </c>
      <c r="E123" s="215" t="str">
        <f>'Target Revenue'!F29</f>
        <v>Passthrough</v>
      </c>
      <c r="F123" s="70" t="s">
        <v>206</v>
      </c>
      <c r="H123" s="216">
        <f>INDEX($H$102:$K$107,MATCH($D123,$B$102:$B$107,0),0)*'Pricing Area Allocations'!H42</f>
        <v>22.038561922895909</v>
      </c>
      <c r="I123" s="216">
        <f>INDEX($H$102:$K$107,MATCH($D123,$B$102:$B$107,0),0)*'Pricing Area Allocations'!I42</f>
        <v>12.242481308425589</v>
      </c>
      <c r="J123" s="216">
        <f>INDEX($H$102:$K$107,MATCH($D123,$B$102:$B$107,0),0)*'Pricing Area Allocations'!J42</f>
        <v>10.284173264881124</v>
      </c>
      <c r="K123" s="216">
        <f>INDEX($H$102:$K$107,MATCH($D123,$B$102:$B$107,0),0)*'Pricing Area Allocations'!K42</f>
        <v>6.2867031895488378E-3</v>
      </c>
    </row>
    <row r="124" spans="1:11" ht="12" customHeight="1">
      <c r="B124" s="70" t="str">
        <f t="shared" si="4"/>
        <v>Electricity Authority levies</v>
      </c>
      <c r="C124" s="118" t="s">
        <v>186</v>
      </c>
      <c r="D124" s="215" t="str">
        <f>'Target Revenue'!E30</f>
        <v>ICP Count</v>
      </c>
      <c r="E124" s="215" t="str">
        <f>'Target Revenue'!F30</f>
        <v>Passthrough</v>
      </c>
      <c r="F124" s="70" t="s">
        <v>206</v>
      </c>
      <c r="H124" s="216">
        <f>INDEX($H$102:$K$107,MATCH($D124,$B$102:$B$107,0),0)*'Pricing Area Allocations'!H43</f>
        <v>1.9395049878105024</v>
      </c>
      <c r="I124" s="216">
        <f>INDEX($H$102:$K$107,MATCH($D124,$B$102:$B$107,0),0)*'Pricing Area Allocations'!I43</f>
        <v>1.20385217983352</v>
      </c>
      <c r="J124" s="216">
        <f>INDEX($H$102:$K$107,MATCH($D124,$B$102:$B$107,0),0)*'Pricing Area Allocations'!J43</f>
        <v>1.056098183655092</v>
      </c>
      <c r="K124" s="216">
        <f>INDEX($H$102:$K$107,MATCH($D124,$B$102:$B$107,0),0)*'Pricing Area Allocations'!K43</f>
        <v>1.8703037490940238E-3</v>
      </c>
    </row>
    <row r="125" spans="1:11" ht="12" customHeight="1">
      <c r="B125" s="70" t="str">
        <f t="shared" si="4"/>
        <v>Utilities Disputes levies</v>
      </c>
      <c r="C125" s="118" t="s">
        <v>186</v>
      </c>
      <c r="D125" s="215" t="str">
        <f>'Target Revenue'!E31</f>
        <v>ICP Count</v>
      </c>
      <c r="E125" s="215" t="str">
        <f>'Target Revenue'!F31</f>
        <v>Passthrough</v>
      </c>
      <c r="F125" s="70" t="s">
        <v>206</v>
      </c>
      <c r="H125" s="216">
        <f>INDEX($H$102:$K$107,MATCH($D125,$B$102:$B$107,0),0)*'Pricing Area Allocations'!H44</f>
        <v>2.5001217961388944</v>
      </c>
      <c r="I125" s="216">
        <f>INDEX($H$102:$K$107,MATCH($D125,$B$102:$B$107,0),0)*'Pricing Area Allocations'!I44</f>
        <v>1.551827447233753</v>
      </c>
      <c r="J125" s="216">
        <f>INDEX($H$102:$K$107,MATCH($D125,$B$102:$B$107,0),0)*'Pricing Area Allocations'!J44</f>
        <v>1.3613649381739912</v>
      </c>
      <c r="K125" s="216">
        <f>INDEX($H$102:$K$107,MATCH($D125,$B$102:$B$107,0),0)*'Pricing Area Allocations'!K44</f>
        <v>2.4109178361995122E-3</v>
      </c>
    </row>
    <row r="126" spans="1:11" ht="12" customHeight="1">
      <c r="B126" s="70" t="str">
        <f t="shared" si="4"/>
        <v>Opex Incentive Amount</v>
      </c>
      <c r="C126" s="118" t="s">
        <v>186</v>
      </c>
      <c r="D126" s="215" t="str">
        <f>'Target Revenue'!E32</f>
        <v>Prior year distribution revenue</v>
      </c>
      <c r="E126" s="215" t="str">
        <f>'Target Revenue'!F32</f>
        <v>Passthrough</v>
      </c>
      <c r="F126" s="70" t="s">
        <v>206</v>
      </c>
      <c r="H126" s="216">
        <f ca="1">INDEX($H$102:$K$107,MATCH($D126,$B$102:$B$107,0),0)*'Pricing Area Allocations'!H45</f>
        <v>908.29708727571324</v>
      </c>
      <c r="I126" s="216">
        <f ca="1">INDEX($H$102:$K$107,MATCH($D126,$B$102:$B$107,0),0)*'Pricing Area Allocations'!I45</f>
        <v>632.00492827160156</v>
      </c>
      <c r="J126" s="216">
        <f ca="1">INDEX($H$102:$K$107,MATCH($D126,$B$102:$B$107,0),0)*'Pricing Area Allocations'!J45</f>
        <v>415.72143044013859</v>
      </c>
      <c r="K126" s="216">
        <f ca="1">INDEX($H$102:$K$107,MATCH($D126,$B$102:$B$107,0),0)*'Pricing Area Allocations'!K45</f>
        <v>0.53910593285086894</v>
      </c>
    </row>
    <row r="127" spans="1:11" ht="12" customHeight="1">
      <c r="B127" s="70" t="str">
        <f t="shared" si="4"/>
        <v>Capex Incentive Amount</v>
      </c>
      <c r="C127" s="118" t="s">
        <v>186</v>
      </c>
      <c r="D127" s="215" t="str">
        <f>'Target Revenue'!E33</f>
        <v>Regulated Asset Base</v>
      </c>
      <c r="E127" s="215" t="str">
        <f>'Target Revenue'!F33</f>
        <v>Passthrough</v>
      </c>
      <c r="F127" s="70" t="s">
        <v>206</v>
      </c>
      <c r="H127" s="216">
        <f ca="1">INDEX($H$102:$K$107,MATCH($D127,$B$102:$B$107,0),0)*'Pricing Area Allocations'!H46</f>
        <v>-66.139688829426305</v>
      </c>
      <c r="I127" s="216">
        <f ca="1">INDEX($H$102:$K$107,MATCH($D127,$B$102:$B$107,0),0)*'Pricing Area Allocations'!I46</f>
        <v>-43.681380673866791</v>
      </c>
      <c r="J127" s="216">
        <f ca="1">INDEX($H$102:$K$107,MATCH($D127,$B$102:$B$107,0),0)*'Pricing Area Allocations'!J46</f>
        <v>-34.522974043504718</v>
      </c>
      <c r="K127" s="216">
        <f ca="1">INDEX($H$102:$K$107,MATCH($D127,$B$102:$B$107,0),0)*'Pricing Area Allocations'!K46</f>
        <v>-7.1323094657809319E-3</v>
      </c>
    </row>
    <row r="128" spans="1:11" ht="12" customHeight="1">
      <c r="B128" s="70" t="str">
        <f t="shared" si="4"/>
        <v>Transpower  - connection costs</v>
      </c>
      <c r="C128" s="118" t="s">
        <v>186</v>
      </c>
      <c r="D128" s="215" t="str">
        <f>'Target Revenue'!E34</f>
        <v>CPD</v>
      </c>
      <c r="E128" s="215" t="str">
        <f>'Target Revenue'!F34</f>
        <v>Passthrough</v>
      </c>
      <c r="F128" s="70" t="s">
        <v>206</v>
      </c>
      <c r="H128" s="216">
        <f>INDEX($H$102:$K$107,MATCH($D128,$B$102:$B$107,0),0)*'Pricing Area Allocations'!H47</f>
        <v>372.96331989537725</v>
      </c>
      <c r="I128" s="216">
        <f>INDEX($H$102:$K$107,MATCH($D128,$B$102:$B$107,0),0)*'Pricing Area Allocations'!I47</f>
        <v>116.74299572199418</v>
      </c>
      <c r="J128" s="216">
        <f>INDEX($H$102:$K$107,MATCH($D128,$B$102:$B$107,0),0)*'Pricing Area Allocations'!J47</f>
        <v>240.30598478173508</v>
      </c>
      <c r="K128" s="216">
        <f>INDEX($H$102:$K$107,MATCH($D128,$B$102:$B$107,0),0)*'Pricing Area Allocations'!K47</f>
        <v>0</v>
      </c>
    </row>
    <row r="129" spans="1:11" ht="12" customHeight="1">
      <c r="B129" s="70" t="str">
        <f t="shared" si="4"/>
        <v>Transpower - interconnection costs</v>
      </c>
      <c r="C129" s="118" t="s">
        <v>186</v>
      </c>
      <c r="D129" s="215" t="str">
        <f>'Target Revenue'!E35</f>
        <v>CPD</v>
      </c>
      <c r="E129" s="215" t="str">
        <f>'Target Revenue'!F35</f>
        <v>Passthrough</v>
      </c>
      <c r="F129" s="70" t="s">
        <v>206</v>
      </c>
      <c r="H129" s="216">
        <f>INDEX($H$102:$K$107,MATCH($D129,$B$102:$B$107,0),0)*'Pricing Area Allocations'!H48</f>
        <v>1530.4595706219009</v>
      </c>
      <c r="I129" s="216">
        <f>INDEX($H$102:$K$107,MATCH($D129,$B$102:$B$107,0),0)*'Pricing Area Allocations'!I48</f>
        <v>479.0563188785369</v>
      </c>
      <c r="J129" s="216">
        <f>INDEX($H$102:$K$107,MATCH($D129,$B$102:$B$107,0),0)*'Pricing Area Allocations'!J48</f>
        <v>986.09856430411344</v>
      </c>
      <c r="K129" s="216">
        <f>INDEX($H$102:$K$107,MATCH($D129,$B$102:$B$107,0),0)*'Pricing Area Allocations'!K48</f>
        <v>0</v>
      </c>
    </row>
    <row r="130" spans="1:11" ht="12" customHeight="1">
      <c r="B130" s="70" t="str">
        <f t="shared" si="4"/>
        <v>Transpower - new investment contract</v>
      </c>
      <c r="C130" s="118" t="s">
        <v>186</v>
      </c>
      <c r="D130" s="215" t="str">
        <f>'Target Revenue'!E36</f>
        <v>CPD</v>
      </c>
      <c r="E130" s="215" t="str">
        <f>'Target Revenue'!F36</f>
        <v>Passthrough</v>
      </c>
      <c r="F130" s="70" t="s">
        <v>206</v>
      </c>
      <c r="H130" s="216">
        <f>INDEX($H$102:$K$107,MATCH($D130,$B$102:$B$107,0),0)*'Pricing Area Allocations'!H49</f>
        <v>6.5731305183261606</v>
      </c>
      <c r="I130" s="216">
        <f>INDEX($H$102:$K$107,MATCH($D130,$B$102:$B$107,0),0)*'Pricing Area Allocations'!I49</f>
        <v>78.986985973433406</v>
      </c>
      <c r="J130" s="216">
        <f>INDEX($H$102:$K$107,MATCH($D130,$B$102:$B$107,0),0)*'Pricing Area Allocations'!J49</f>
        <v>0</v>
      </c>
      <c r="K130" s="216">
        <f>INDEX($H$102:$K$107,MATCH($D130,$B$102:$B$107,0),0)*'Pricing Area Allocations'!K49</f>
        <v>0</v>
      </c>
    </row>
    <row r="131" spans="1:11" ht="12" customHeight="1">
      <c r="A131" s="180" t="str">
        <f t="shared" si="3"/>
        <v>Load group Streetlighting</v>
      </c>
      <c r="B131" s="70" t="str">
        <f t="shared" si="4"/>
        <v>Distributed Generation Allowance</v>
      </c>
      <c r="C131" s="118" t="s">
        <v>186</v>
      </c>
      <c r="D131" s="215" t="str">
        <f>'Target Revenue'!E37</f>
        <v>CPD</v>
      </c>
      <c r="E131" s="215" t="str">
        <f>'Target Revenue'!F37</f>
        <v>Passthrough</v>
      </c>
      <c r="F131" s="70" t="s">
        <v>206</v>
      </c>
      <c r="H131" s="216">
        <f>INDEX($H$102:$K$107,MATCH($D131,$B$102:$B$107,0),0)*'Pricing Area Allocations'!H50</f>
        <v>650.52715947412116</v>
      </c>
      <c r="I131" s="216">
        <f>INDEX($H$102:$K$107,MATCH($D131,$B$102:$B$107,0),0)*'Pricing Area Allocations'!I50</f>
        <v>51.519967648269564</v>
      </c>
      <c r="J131" s="216">
        <f>INDEX($H$102:$K$107,MATCH($D131,$B$102:$B$107,0),0)*'Pricing Area Allocations'!J50</f>
        <v>33.616648396402425</v>
      </c>
      <c r="K131" s="216">
        <f>INDEX($H$102:$K$107,MATCH($D131,$B$102:$B$107,0),0)*'Pricing Area Allocations'!K50</f>
        <v>0</v>
      </c>
    </row>
    <row r="132" spans="1:11" ht="12" customHeight="1">
      <c r="A132" s="180" t="str">
        <f t="shared" si="3"/>
        <v>Load group Streetlighting</v>
      </c>
      <c r="B132" s="70" t="str">
        <f t="shared" si="4"/>
        <v>CPP recoverable costs</v>
      </c>
      <c r="C132" s="118" t="s">
        <v>186</v>
      </c>
      <c r="D132" s="215" t="str">
        <f>'Target Revenue'!E38</f>
        <v>ICP Count</v>
      </c>
      <c r="E132" s="215" t="str">
        <f>'Target Revenue'!F38</f>
        <v>Passthrough</v>
      </c>
      <c r="F132" s="70" t="s">
        <v>206</v>
      </c>
      <c r="H132" s="216">
        <f ca="1">INDEX($H$102:$K$107,MATCH($D132,$B$102:$B$107,0),0)*'Pricing Area Allocations'!H51</f>
        <v>0</v>
      </c>
      <c r="I132" s="216">
        <f ca="1">INDEX($H$102:$K$107,MATCH($D132,$B$102:$B$107,0),0)*'Pricing Area Allocations'!I51</f>
        <v>0</v>
      </c>
      <c r="J132" s="216">
        <f ca="1">INDEX($H$102:$K$107,MATCH($D132,$B$102:$B$107,0),0)*'Pricing Area Allocations'!J51</f>
        <v>0</v>
      </c>
      <c r="K132" s="216">
        <f ca="1">INDEX($H$102:$K$107,MATCH($D132,$B$102:$B$107,0),0)*'Pricing Area Allocations'!K51</f>
        <v>0</v>
      </c>
    </row>
    <row r="133" spans="1:11" ht="12" customHeight="1">
      <c r="A133" s="180" t="str">
        <f t="shared" si="3"/>
        <v>Load group Streetlighting</v>
      </c>
      <c r="B133" s="70" t="str">
        <f t="shared" si="4"/>
        <v>Quality Incentive Adjustments</v>
      </c>
      <c r="C133" s="118" t="s">
        <v>186</v>
      </c>
      <c r="D133" s="215" t="str">
        <f>'Target Revenue'!E39</f>
        <v>ICP Count</v>
      </c>
      <c r="E133" s="215" t="str">
        <f>'Target Revenue'!F39</f>
        <v>Passthrough</v>
      </c>
      <c r="F133" s="70" t="s">
        <v>206</v>
      </c>
      <c r="H133" s="216">
        <f ca="1">INDEX($H$102:$K$107,MATCH($D133,$B$102:$B$107,0),0)*'Pricing Area Allocations'!H52</f>
        <v>-0.33444057201274185</v>
      </c>
      <c r="I133" s="216">
        <f ca="1">INDEX($H$102:$K$107,MATCH($D133,$B$102:$B$107,0),0)*'Pricing Area Allocations'!I52</f>
        <v>-0.20758751030427663</v>
      </c>
      <c r="J133" s="216">
        <f ca="1">INDEX($H$102:$K$107,MATCH($D133,$B$102:$B$107,0),0)*'Pricing Area Allocations'!J52</f>
        <v>-0.1821093953679154</v>
      </c>
      <c r="K133" s="216">
        <f ca="1">INDEX($H$102:$K$107,MATCH($D133,$B$102:$B$107,0),0)*'Pricing Area Allocations'!K52</f>
        <v>-3.2250778400457272E-4</v>
      </c>
    </row>
    <row r="134" spans="1:11" ht="12" customHeight="1">
      <c r="A134" s="180" t="str">
        <f t="shared" si="3"/>
        <v>Load group Streetlighting</v>
      </c>
      <c r="B134" s="70" t="str">
        <f t="shared" si="4"/>
        <v>Capex Wash-up Adjustment</v>
      </c>
      <c r="C134" s="118" t="s">
        <v>186</v>
      </c>
      <c r="D134" s="215" t="str">
        <f>'Target Revenue'!E40</f>
        <v>Regulated Asset Base</v>
      </c>
      <c r="E134" s="215" t="str">
        <f>'Target Revenue'!F40</f>
        <v>Passthrough</v>
      </c>
      <c r="F134" s="70" t="s">
        <v>206</v>
      </c>
      <c r="H134" s="216">
        <f ca="1">INDEX($H$102:$K$107,MATCH($D134,$B$102:$B$107,0),0)*'Pricing Area Allocations'!H53</f>
        <v>-34.775450658966399</v>
      </c>
      <c r="I134" s="216">
        <f ca="1">INDEX($H$102:$K$107,MATCH($D134,$B$102:$B$107,0),0)*'Pricing Area Allocations'!I53</f>
        <v>-22.967143106118527</v>
      </c>
      <c r="J134" s="216">
        <f ca="1">INDEX($H$102:$K$107,MATCH($D134,$B$102:$B$107,0),0)*'Pricing Area Allocations'!J53</f>
        <v>-18.151763361737146</v>
      </c>
      <c r="K134" s="216">
        <f ca="1">INDEX($H$102:$K$107,MATCH($D134,$B$102:$B$107,0),0)*'Pricing Area Allocations'!K53</f>
        <v>-3.7500822925159083E-3</v>
      </c>
    </row>
    <row r="135" spans="1:11" ht="12" customHeight="1">
      <c r="A135" s="180" t="str">
        <f t="shared" si="3"/>
        <v>Load group Streetlighting</v>
      </c>
      <c r="B135" s="70" t="str">
        <f t="shared" si="4"/>
        <v>Fire and Emergency Management New Zealand (FENZ) levies</v>
      </c>
      <c r="C135" s="118" t="s">
        <v>186</v>
      </c>
      <c r="D135" s="215" t="str">
        <f>'Target Revenue'!E41</f>
        <v>Regulated Asset Base</v>
      </c>
      <c r="E135" s="215" t="str">
        <f>'Target Revenue'!F41</f>
        <v>Passthrough</v>
      </c>
      <c r="F135" s="70" t="s">
        <v>206</v>
      </c>
      <c r="H135" s="216">
        <f>INDEX($H$102:$K$107,MATCH($D135,$B$102:$B$107,0),0)*'Pricing Area Allocations'!H54</f>
        <v>1.8923770359133472</v>
      </c>
      <c r="I135" s="216">
        <f>INDEX($H$102:$K$107,MATCH($D135,$B$102:$B$107,0),0)*'Pricing Area Allocations'!I54</f>
        <v>1.2498039096827063</v>
      </c>
      <c r="J135" s="216">
        <f>INDEX($H$102:$K$107,MATCH($D135,$B$102:$B$107,0),0)*'Pricing Area Allocations'!J54</f>
        <v>0.98776520494143294</v>
      </c>
      <c r="K135" s="216">
        <f>INDEX($H$102:$K$107,MATCH($D135,$B$102:$B$107,0),0)*'Pricing Area Allocations'!K54</f>
        <v>2.0406837233359116E-4</v>
      </c>
    </row>
    <row r="136" spans="1:11" ht="12" customHeight="1">
      <c r="A136" s="217"/>
      <c r="B136" s="218" t="s">
        <v>7</v>
      </c>
      <c r="C136" s="163"/>
      <c r="D136" s="88"/>
      <c r="E136" s="88"/>
      <c r="F136" s="88"/>
      <c r="G136" s="88"/>
      <c r="H136" s="219">
        <f ca="1">SUM(H111:H135)</f>
        <v>7403.6260460703534</v>
      </c>
      <c r="I136" s="220">
        <f ca="1">SUM(I111:I135)</f>
        <v>4415.5935556262311</v>
      </c>
      <c r="J136" s="220">
        <f ca="1">SUM(J111:J135)</f>
        <v>3770.9377635004294</v>
      </c>
      <c r="K136" s="220">
        <f ca="1">SUM(K111:K135)</f>
        <v>1.7696016570060309</v>
      </c>
    </row>
    <row r="137" spans="1:11" ht="12" customHeight="1">
      <c r="A137" s="217"/>
      <c r="B137" s="218"/>
      <c r="C137" s="163"/>
      <c r="D137" s="88"/>
      <c r="E137" s="88"/>
      <c r="F137" s="88"/>
      <c r="G137" s="88"/>
      <c r="H137" s="219"/>
      <c r="I137" s="220"/>
      <c r="J137" s="220"/>
      <c r="K137" s="220"/>
    </row>
    <row r="138" spans="1:11" ht="12" customHeight="1">
      <c r="A138" s="217"/>
      <c r="B138" s="218"/>
      <c r="C138" s="163"/>
      <c r="D138" s="221"/>
      <c r="E138" s="88" t="str">
        <f>'Name labels'!$B$62</f>
        <v>Distribution</v>
      </c>
      <c r="F138" s="88"/>
      <c r="G138" s="88"/>
      <c r="H138" s="219">
        <f ca="1">SUMIF($E111:H135,$E138,H111:H135)</f>
        <v>3932.1121039755017</v>
      </c>
      <c r="I138" s="219">
        <f ca="1">SUMIF($E111:I135,$E138,I111:I135)</f>
        <v>3057.9791824538133</v>
      </c>
      <c r="J138" s="219">
        <f ca="1">SUMIF($E111:J135,$E138,J111:J135)</f>
        <v>2094.9158580393537</v>
      </c>
      <c r="K138" s="219">
        <f ca="1">SUMIF($E111:K135,$E138,K111:K135)</f>
        <v>1.2227790941374477</v>
      </c>
    </row>
    <row r="139" spans="1:11" ht="12" customHeight="1">
      <c r="A139" s="217"/>
      <c r="B139" s="218"/>
      <c r="C139" s="163"/>
      <c r="D139" s="88"/>
      <c r="E139" s="88" t="str">
        <f>'Name labels'!$B$63</f>
        <v>Passthrough</v>
      </c>
      <c r="F139" s="88"/>
      <c r="G139" s="88"/>
      <c r="H139" s="219">
        <f ca="1">SUMIF($E111:H135,$E139,H111:H135)</f>
        <v>3471.5139420948522</v>
      </c>
      <c r="I139" s="219">
        <f ca="1">SUMIF($E111:I135,$E139,I111:I135)</f>
        <v>1357.6143731724176</v>
      </c>
      <c r="J139" s="219">
        <f ca="1">SUMIF($E111:J135,$E139,J111:J135)</f>
        <v>1676.0219054610761</v>
      </c>
      <c r="K139" s="219">
        <f ca="1">SUMIF($E111:K135,$E139,K111:K135)</f>
        <v>0.54682256286858311</v>
      </c>
    </row>
    <row r="140" spans="1:11" ht="12" customHeight="1">
      <c r="A140" s="217"/>
      <c r="B140" s="81"/>
      <c r="C140" s="163"/>
      <c r="D140" s="88"/>
      <c r="E140" s="88"/>
      <c r="F140" s="88"/>
      <c r="G140" s="88"/>
    </row>
    <row r="141" spans="1:11" ht="22.5">
      <c r="A141" s="211"/>
      <c r="B141" s="212" t="str">
        <f>'Name labels'!C$13</f>
        <v>Load group 3</v>
      </c>
      <c r="C141" s="209" t="s">
        <v>178</v>
      </c>
      <c r="D141" s="210" t="s">
        <v>205</v>
      </c>
      <c r="E141" s="213" t="s">
        <v>98</v>
      </c>
      <c r="F141" s="214"/>
      <c r="G141" s="214"/>
      <c r="H141" s="214"/>
      <c r="I141" s="214"/>
      <c r="J141" s="214"/>
      <c r="K141" s="214"/>
    </row>
    <row r="142" spans="1:11" ht="12" customHeight="1">
      <c r="H142" s="214"/>
    </row>
    <row r="143" spans="1:11" ht="12" customHeight="1">
      <c r="B143" s="161" t="s">
        <v>207</v>
      </c>
    </row>
    <row r="145" spans="1:11" ht="12" customHeight="1">
      <c r="B145" s="70" t="str">
        <f>'Name labels'!C$47</f>
        <v>ICP Count</v>
      </c>
      <c r="C145" s="198" t="s">
        <v>6</v>
      </c>
      <c r="H145" s="82">
        <f>'Allocator Data'!I$29</f>
        <v>3.4513751572892324E-3</v>
      </c>
      <c r="I145" s="82">
        <f>'Allocator Data'!J$29</f>
        <v>6.4621868414891127E-3</v>
      </c>
      <c r="J145" s="82">
        <f>'Allocator Data'!K$29</f>
        <v>4.4476327116212341E-3</v>
      </c>
      <c r="K145" s="82">
        <f>'Allocator Data'!L$29</f>
        <v>0</v>
      </c>
    </row>
    <row r="146" spans="1:11" ht="12" customHeight="1">
      <c r="B146" s="70" t="str">
        <f>'Name labels'!C$48</f>
        <v>CPD</v>
      </c>
      <c r="C146" s="198" t="s">
        <v>6</v>
      </c>
      <c r="H146" s="82">
        <f>'Allocator Data'!I$69</f>
        <v>8.7460708544873131E-2</v>
      </c>
      <c r="I146" s="82">
        <f>'Allocator Data'!J$69</f>
        <v>6.9908649932051994E-2</v>
      </c>
      <c r="J146" s="82">
        <f>'Allocator Data'!K$69</f>
        <v>6.753107973748991E-2</v>
      </c>
      <c r="K146" s="82">
        <f>'Allocator Data'!L$69</f>
        <v>0</v>
      </c>
    </row>
    <row r="147" spans="1:11" ht="12" customHeight="1">
      <c r="B147" s="70" t="str">
        <f>'Name labels'!C$49</f>
        <v>Prior year distribution revenue</v>
      </c>
      <c r="C147" s="198" t="s">
        <v>6</v>
      </c>
      <c r="H147" s="82">
        <f>'Allocator Data'!I$117</f>
        <v>7.8549834872905164E-2</v>
      </c>
      <c r="I147" s="82">
        <f>'Allocator Data'!J$117</f>
        <v>8.8453771017623029E-2</v>
      </c>
      <c r="J147" s="82">
        <f>'Allocator Data'!K$117</f>
        <v>8.4188360493216277E-2</v>
      </c>
      <c r="K147" s="82">
        <f>'Allocator Data'!L$117</f>
        <v>0</v>
      </c>
    </row>
    <row r="148" spans="1:11" ht="12" customHeight="1">
      <c r="B148" s="70" t="str">
        <f>'Name labels'!C$50</f>
        <v>MWh</v>
      </c>
      <c r="C148" s="198" t="s">
        <v>6</v>
      </c>
      <c r="H148" s="82">
        <f>'Allocator Data'!I$141</f>
        <v>9.7605545375195876E-2</v>
      </c>
      <c r="I148" s="82">
        <f>'Allocator Data'!J$141</f>
        <v>0.13874203392086998</v>
      </c>
      <c r="J148" s="82">
        <f>'Allocator Data'!K$141</f>
        <v>8.8344910470620389E-2</v>
      </c>
      <c r="K148" s="82">
        <f>'Allocator Data'!L$141</f>
        <v>0</v>
      </c>
    </row>
    <row r="149" spans="1:11" ht="12" customHeight="1">
      <c r="B149" s="70" t="str">
        <f>'Name labels'!C$51</f>
        <v>Regulated Asset Base</v>
      </c>
      <c r="C149" s="198" t="s">
        <v>6</v>
      </c>
      <c r="H149" s="82">
        <f>'RAB Allocations'!I$30</f>
        <v>0.15624915406653925</v>
      </c>
      <c r="I149" s="82">
        <f>'RAB Allocations'!J$30</f>
        <v>0.21821078677763017</v>
      </c>
      <c r="J149" s="82">
        <f>'RAB Allocations'!K$30</f>
        <v>0.16629857469948534</v>
      </c>
      <c r="K149" s="82">
        <f>'RAB Allocations'!L$30</f>
        <v>0</v>
      </c>
    </row>
    <row r="150" spans="1:11" ht="12" customHeight="1">
      <c r="B150" s="70" t="str">
        <f>'Name labels'!C$52</f>
        <v>Regulated Asset Base (Depreciation)</v>
      </c>
      <c r="C150" s="198"/>
      <c r="H150" s="82">
        <f>'RAB - Depreciation Allocations'!I$30</f>
        <v>0.15943738856509276</v>
      </c>
      <c r="I150" s="82">
        <f>'RAB - Depreciation Allocations'!J$30</f>
        <v>0.23345743528695356</v>
      </c>
      <c r="J150" s="82">
        <f>'RAB - Depreciation Allocations'!K$30</f>
        <v>0.1677512432967429</v>
      </c>
      <c r="K150" s="82">
        <f>'RAB - Depreciation Allocations'!L$30</f>
        <v>0</v>
      </c>
    </row>
    <row r="152" spans="1:11" ht="12" customHeight="1">
      <c r="B152" s="161" t="str">
        <f>B141&amp;" Allocation"</f>
        <v>Load group 3 Allocation</v>
      </c>
    </row>
    <row r="153" spans="1:11" ht="12" customHeight="1">
      <c r="B153" s="88"/>
    </row>
    <row r="154" spans="1:11" ht="12" customHeight="1">
      <c r="A154" s="180" t="str">
        <f>$B$12</f>
        <v>Load group Streetlighting</v>
      </c>
      <c r="B154" s="70" t="str">
        <f>B111</f>
        <v>Service interruptions and emergencies</v>
      </c>
      <c r="C154" s="118" t="s">
        <v>186</v>
      </c>
      <c r="D154" s="215" t="str">
        <f>'Target Revenue'!E17</f>
        <v>CPD</v>
      </c>
      <c r="E154" s="215" t="str">
        <f>'Target Revenue'!F17</f>
        <v>Distribution</v>
      </c>
      <c r="F154" s="70" t="s">
        <v>206</v>
      </c>
      <c r="H154" s="216">
        <f ca="1">INDEX($H$145:$K$150,MATCH($D154,$B$145:$B$150,0),0)*'Pricing Area Allocations'!H30</f>
        <v>67.743800540980004</v>
      </c>
      <c r="I154" s="216">
        <f ca="1">INDEX($H$145:$K$150,MATCH($D154,$B$145:$B$150,0),0)*'Pricing Area Allocations'!I30</f>
        <v>62.806049593660028</v>
      </c>
      <c r="J154" s="216">
        <f ca="1">INDEX($H$145:$K$150,MATCH($D154,$B$145:$B$150,0),0)*'Pricing Area Allocations'!J30</f>
        <v>22.125686249242662</v>
      </c>
      <c r="K154" s="216">
        <f ca="1">INDEX($H$145:$K$150,MATCH($D154,$B$145:$B$150,0),0)*'Pricing Area Allocations'!K30</f>
        <v>0</v>
      </c>
    </row>
    <row r="155" spans="1:11" ht="12" customHeight="1">
      <c r="A155" s="180" t="str">
        <f t="shared" ref="A155:A178" si="5">$B$12</f>
        <v>Load group Streetlighting</v>
      </c>
      <c r="B155" s="70" t="str">
        <f t="shared" ref="B155:B178" si="6">B112</f>
        <v>Service interruptions and emergencies</v>
      </c>
      <c r="C155" s="118" t="s">
        <v>186</v>
      </c>
      <c r="D155" s="215" t="str">
        <f>'Target Revenue'!E18</f>
        <v>ICP Count</v>
      </c>
      <c r="E155" s="215" t="str">
        <f>'Target Revenue'!F18</f>
        <v>Distribution</v>
      </c>
      <c r="F155" s="70" t="s">
        <v>206</v>
      </c>
      <c r="H155" s="216">
        <f ca="1">INDEX($H$145:$K$150,MATCH($D155,$B$145:$B$150,0),0)*'Pricing Area Allocations'!H31</f>
        <v>4.2222872604795221</v>
      </c>
      <c r="I155" s="216">
        <f ca="1">INDEX($H$145:$K$150,MATCH($D155,$B$145:$B$150,0),0)*'Pricing Area Allocations'!I31</f>
        <v>3.0347689684696566</v>
      </c>
      <c r="J155" s="216">
        <f ca="1">INDEX($H$145:$K$150,MATCH($D155,$B$145:$B$150,0),0)*'Pricing Area Allocations'!J31</f>
        <v>1.3634469278631791</v>
      </c>
      <c r="K155" s="216">
        <f ca="1">INDEX($H$145:$K$150,MATCH($D155,$B$145:$B$150,0),0)*'Pricing Area Allocations'!K31</f>
        <v>0</v>
      </c>
    </row>
    <row r="156" spans="1:11" ht="12" customHeight="1">
      <c r="A156" s="180" t="str">
        <f t="shared" si="5"/>
        <v>Load group Streetlighting</v>
      </c>
      <c r="B156" s="70" t="str">
        <f t="shared" si="6"/>
        <v>Vegetation management</v>
      </c>
      <c r="C156" s="118" t="s">
        <v>186</v>
      </c>
      <c r="D156" s="215" t="str">
        <f>'Target Revenue'!E19</f>
        <v>CPD</v>
      </c>
      <c r="E156" s="215" t="str">
        <f>'Target Revenue'!F19</f>
        <v>Distribution</v>
      </c>
      <c r="F156" s="70" t="s">
        <v>206</v>
      </c>
      <c r="H156" s="216">
        <f ca="1">INDEX($H$145:$K$150,MATCH($D156,$B$145:$B$150,0),0)*'Pricing Area Allocations'!H32</f>
        <v>167.98828358257018</v>
      </c>
      <c r="I156" s="216">
        <f ca="1">INDEX($H$145:$K$150,MATCH($D156,$B$145:$B$150,0),0)*'Pricing Area Allocations'!I32</f>
        <v>138.78834106764566</v>
      </c>
      <c r="J156" s="216">
        <f ca="1">INDEX($H$145:$K$150,MATCH($D156,$B$145:$B$150,0),0)*'Pricing Area Allocations'!J32</f>
        <v>31.585946736737</v>
      </c>
      <c r="K156" s="216">
        <f ca="1">INDEX($H$145:$K$150,MATCH($D156,$B$145:$B$150,0),0)*'Pricing Area Allocations'!K32</f>
        <v>0</v>
      </c>
    </row>
    <row r="157" spans="1:11" ht="12" customHeight="1">
      <c r="B157" s="70" t="str">
        <f t="shared" si="6"/>
        <v>Routine and corrective maintenance and inspection</v>
      </c>
      <c r="C157" s="118" t="s">
        <v>186</v>
      </c>
      <c r="D157" s="215" t="str">
        <f>'Target Revenue'!E20</f>
        <v>CPD</v>
      </c>
      <c r="E157" s="215" t="str">
        <f>'Target Revenue'!F20</f>
        <v>Distribution</v>
      </c>
      <c r="F157" s="70" t="s">
        <v>206</v>
      </c>
      <c r="H157" s="216">
        <f ca="1">INDEX($H$145:$K$150,MATCH($D157,$B$145:$B$150,0),0)*'Pricing Area Allocations'!H33</f>
        <v>284.80872201216499</v>
      </c>
      <c r="I157" s="216">
        <f ca="1">INDEX($H$145:$K$150,MATCH($D157,$B$145:$B$150,0),0)*'Pricing Area Allocations'!I33</f>
        <v>264.04941229392966</v>
      </c>
      <c r="J157" s="216">
        <f ca="1">INDEX($H$145:$K$150,MATCH($D157,$B$145:$B$150,0),0)*'Pricing Area Allocations'!J33</f>
        <v>93.0208871360404</v>
      </c>
      <c r="K157" s="216">
        <f ca="1">INDEX($H$145:$K$150,MATCH($D157,$B$145:$B$150,0),0)*'Pricing Area Allocations'!K33</f>
        <v>0</v>
      </c>
    </row>
    <row r="158" spans="1:11" ht="12" customHeight="1">
      <c r="B158" s="70" t="str">
        <f t="shared" si="6"/>
        <v>System operations and network support</v>
      </c>
      <c r="C158" s="118" t="s">
        <v>186</v>
      </c>
      <c r="D158" s="215" t="str">
        <f>'Target Revenue'!E21</f>
        <v>ICP Count</v>
      </c>
      <c r="E158" s="215" t="str">
        <f>'Target Revenue'!F21</f>
        <v>Distribution</v>
      </c>
      <c r="F158" s="70" t="s">
        <v>206</v>
      </c>
      <c r="H158" s="216">
        <f ca="1">INDEX($H$145:$K$150,MATCH($D158,$B$145:$B$150,0),0)*'Pricing Area Allocations'!H34</f>
        <v>28.089112514721805</v>
      </c>
      <c r="I158" s="216">
        <f ca="1">INDEX($H$145:$K$150,MATCH($D158,$B$145:$B$150,0),0)*'Pricing Area Allocations'!I34</f>
        <v>20.1890496199563</v>
      </c>
      <c r="J158" s="216">
        <f ca="1">INDEX($H$145:$K$150,MATCH($D158,$B$145:$B$150,0),0)*'Pricing Area Allocations'!J34</f>
        <v>9.0704425828789184</v>
      </c>
      <c r="K158" s="216">
        <f ca="1">INDEX($H$145:$K$150,MATCH($D158,$B$145:$B$150,0),0)*'Pricing Area Allocations'!K34</f>
        <v>0</v>
      </c>
    </row>
    <row r="159" spans="1:11" ht="12" customHeight="1">
      <c r="B159" s="70" t="str">
        <f t="shared" si="6"/>
        <v>Business support</v>
      </c>
      <c r="C159" s="118" t="s">
        <v>186</v>
      </c>
      <c r="D159" s="215" t="str">
        <f>'Target Revenue'!E22</f>
        <v>ICP Count</v>
      </c>
      <c r="E159" s="215" t="str">
        <f>'Target Revenue'!F22</f>
        <v>Distribution</v>
      </c>
      <c r="F159" s="70" t="s">
        <v>206</v>
      </c>
      <c r="H159" s="216">
        <f ca="1">INDEX($H$145:$K$150,MATCH($D159,$B$145:$B$150,0),0)*'Pricing Area Allocations'!H35</f>
        <v>27.898794980066874</v>
      </c>
      <c r="I159" s="216">
        <f ca="1">INDEX($H$145:$K$150,MATCH($D159,$B$145:$B$150,0),0)*'Pricing Area Allocations'!I35</f>
        <v>20.052258891923067</v>
      </c>
      <c r="J159" s="216">
        <f ca="1">INDEX($H$145:$K$150,MATCH($D159,$B$145:$B$150,0),0)*'Pricing Area Allocations'!J35</f>
        <v>9.0089858789799298</v>
      </c>
      <c r="K159" s="216">
        <f ca="1">INDEX($H$145:$K$150,MATCH($D159,$B$145:$B$150,0),0)*'Pricing Area Allocations'!K35</f>
        <v>0</v>
      </c>
    </row>
    <row r="160" spans="1:11" ht="12" customHeight="1">
      <c r="B160" s="70" t="str">
        <f t="shared" si="6"/>
        <v>Depreciation</v>
      </c>
      <c r="C160" s="118" t="s">
        <v>186</v>
      </c>
      <c r="D160" s="215" t="str">
        <f>'Target Revenue'!E23</f>
        <v>Regulated Asset Base (Depreciation)</v>
      </c>
      <c r="E160" s="215" t="str">
        <f>'Target Revenue'!F23</f>
        <v>Distribution</v>
      </c>
      <c r="F160" s="70" t="s">
        <v>206</v>
      </c>
      <c r="H160" s="216">
        <f ca="1">INDEX($H$145:$K$150,MATCH($D160,$B$145:$B$150,0),0)*'Pricing Area Allocations'!H36</f>
        <v>1251.7400595982338</v>
      </c>
      <c r="I160" s="216">
        <f ca="1">INDEX($H$145:$K$150,MATCH($D160,$B$145:$B$150,0),0)*'Pricing Area Allocations'!I36</f>
        <v>1279.9091482559875</v>
      </c>
      <c r="J160" s="216">
        <f ca="1">INDEX($H$145:$K$150,MATCH($D160,$B$145:$B$150,0),0)*'Pricing Area Allocations'!J36</f>
        <v>578.92334297271213</v>
      </c>
      <c r="K160" s="216">
        <f ca="1">INDEX($H$145:$K$150,MATCH($D160,$B$145:$B$150,0),0)*'Pricing Area Allocations'!K36</f>
        <v>0</v>
      </c>
    </row>
    <row r="161" spans="1:11" ht="12" customHeight="1">
      <c r="B161" s="70" t="str">
        <f t="shared" si="6"/>
        <v>Asset revaluations and other regulatory revenue</v>
      </c>
      <c r="C161" s="118" t="s">
        <v>186</v>
      </c>
      <c r="D161" s="215" t="str">
        <f>'Target Revenue'!E24</f>
        <v>Regulated Asset Base</v>
      </c>
      <c r="E161" s="215" t="str">
        <f>'Target Revenue'!F24</f>
        <v>Distribution</v>
      </c>
      <c r="F161" s="70" t="s">
        <v>206</v>
      </c>
      <c r="H161" s="216">
        <f ca="1">INDEX($H$145:$K$150,MATCH($D161,$B$145:$B$150,0),0)*'Pricing Area Allocations'!H37</f>
        <v>-762.11431182616946</v>
      </c>
      <c r="I161" s="216">
        <f ca="1">INDEX($H$145:$K$150,MATCH($D161,$B$145:$B$150,0),0)*'Pricing Area Allocations'!I37</f>
        <v>-756.18560920649634</v>
      </c>
      <c r="J161" s="216">
        <f ca="1">INDEX($H$145:$K$150,MATCH($D161,$B$145:$B$150,0),0)*'Pricing Area Allocations'!J37</f>
        <v>-340.50807038469088</v>
      </c>
      <c r="K161" s="216">
        <f ca="1">INDEX($H$145:$K$150,MATCH($D161,$B$145:$B$150,0),0)*'Pricing Area Allocations'!K37</f>
        <v>0</v>
      </c>
    </row>
    <row r="162" spans="1:11" ht="12" customHeight="1">
      <c r="B162" s="70" t="str">
        <f t="shared" si="6"/>
        <v>Tax</v>
      </c>
      <c r="C162" s="118" t="s">
        <v>186</v>
      </c>
      <c r="D162" s="215" t="str">
        <f>'Target Revenue'!E25</f>
        <v>Regulated Asset Base</v>
      </c>
      <c r="E162" s="215" t="str">
        <f>'Target Revenue'!F25</f>
        <v>Distribution</v>
      </c>
      <c r="F162" s="70" t="s">
        <v>206</v>
      </c>
      <c r="H162" s="216">
        <f ca="1">INDEX($H$145:$K$150,MATCH($D162,$B$145:$B$150,0),0)*'Pricing Area Allocations'!H38</f>
        <v>346.46399815276419</v>
      </c>
      <c r="I162" s="216">
        <f ca="1">INDEX($H$145:$K$150,MATCH($D162,$B$145:$B$150,0),0)*'Pricing Area Allocations'!I38</f>
        <v>343.76875679382852</v>
      </c>
      <c r="J162" s="216">
        <f ca="1">INDEX($H$145:$K$150,MATCH($D162,$B$145:$B$150,0),0)*'Pricing Area Allocations'!J38</f>
        <v>154.79802129168183</v>
      </c>
      <c r="K162" s="216">
        <f ca="1">INDEX($H$145:$K$150,MATCH($D162,$B$145:$B$150,0),0)*'Pricing Area Allocations'!K38</f>
        <v>0</v>
      </c>
    </row>
    <row r="163" spans="1:11" ht="12" customHeight="1">
      <c r="B163" s="70" t="str">
        <f t="shared" si="6"/>
        <v>Return on capital</v>
      </c>
      <c r="C163" s="118" t="s">
        <v>186</v>
      </c>
      <c r="D163" s="215" t="str">
        <f>'Target Revenue'!E26</f>
        <v>Regulated Asset Base</v>
      </c>
      <c r="E163" s="215" t="str">
        <f>'Target Revenue'!F26</f>
        <v>Distribution</v>
      </c>
      <c r="F163" s="70" t="s">
        <v>206</v>
      </c>
      <c r="H163" s="216">
        <f ca="1">INDEX($H$145:$K$150,MATCH($D163,$B$145:$B$150,0),0)*'Pricing Area Allocations'!H39</f>
        <v>2085.1190677886575</v>
      </c>
      <c r="I163" s="216">
        <f ca="1">INDEX($H$145:$K$150,MATCH($D163,$B$145:$B$150,0),0)*'Pricing Area Allocations'!I39</f>
        <v>2068.8983372660841</v>
      </c>
      <c r="J163" s="216">
        <f ca="1">INDEX($H$145:$K$150,MATCH($D163,$B$145:$B$150,0),0)*'Pricing Area Allocations'!J39</f>
        <v>931.61860271820365</v>
      </c>
      <c r="K163" s="216">
        <f ca="1">INDEX($H$145:$K$150,MATCH($D163,$B$145:$B$150,0),0)*'Pricing Area Allocations'!K39</f>
        <v>0</v>
      </c>
    </row>
    <row r="164" spans="1:11" ht="12" customHeight="1">
      <c r="B164" s="70" t="str">
        <f t="shared" si="6"/>
        <v>Local Authority rates</v>
      </c>
      <c r="C164" s="118" t="s">
        <v>186</v>
      </c>
      <c r="D164" s="215" t="str">
        <f>'Target Revenue'!E27</f>
        <v>Regulated Asset Base</v>
      </c>
      <c r="E164" s="215" t="str">
        <f>'Target Revenue'!F27</f>
        <v>Passthrough</v>
      </c>
      <c r="F164" s="70" t="s">
        <v>206</v>
      </c>
      <c r="H164" s="216">
        <f>INDEX($H$145:$K$150,MATCH($D164,$B$145:$B$150,0),0)*'Pricing Area Allocations'!H40</f>
        <v>83.180794552815001</v>
      </c>
      <c r="I164" s="216">
        <f>INDEX($H$145:$K$150,MATCH($D164,$B$145:$B$150,0),0)*'Pricing Area Allocations'!I40</f>
        <v>82.533707643516479</v>
      </c>
      <c r="J164" s="216">
        <f>INDEX($H$145:$K$150,MATCH($D164,$B$145:$B$150,0),0)*'Pricing Area Allocations'!J40</f>
        <v>37.164676488459385</v>
      </c>
      <c r="K164" s="216">
        <f>INDEX($H$145:$K$150,MATCH($D164,$B$145:$B$150,0),0)*'Pricing Area Allocations'!K40</f>
        <v>0</v>
      </c>
    </row>
    <row r="165" spans="1:11" ht="12" customHeight="1">
      <c r="B165" s="70" t="str">
        <f t="shared" si="6"/>
        <v>Commerce Act levies</v>
      </c>
      <c r="C165" s="118" t="s">
        <v>186</v>
      </c>
      <c r="D165" s="215" t="str">
        <f>'Target Revenue'!E28</f>
        <v>Regulated Asset Base</v>
      </c>
      <c r="E165" s="215" t="str">
        <f>'Target Revenue'!F28</f>
        <v>Passthrough</v>
      </c>
      <c r="F165" s="70" t="s">
        <v>206</v>
      </c>
      <c r="H165" s="216">
        <f>INDEX($H$145:$K$150,MATCH($D165,$B$145:$B$150,0),0)*'Pricing Area Allocations'!H41</f>
        <v>20.844186797075107</v>
      </c>
      <c r="I165" s="216">
        <f>INDEX($H$145:$K$150,MATCH($D165,$B$145:$B$150,0),0)*'Pricing Area Allocations'!I41</f>
        <v>20.682033977017632</v>
      </c>
      <c r="J165" s="216">
        <f>INDEX($H$145:$K$150,MATCH($D165,$B$145:$B$150,0),0)*'Pricing Area Allocations'!J41</f>
        <v>9.3130567355478142</v>
      </c>
      <c r="K165" s="216">
        <f>INDEX($H$145:$K$150,MATCH($D165,$B$145:$B$150,0),0)*'Pricing Area Allocations'!K41</f>
        <v>0</v>
      </c>
    </row>
    <row r="166" spans="1:11" ht="12" customHeight="1">
      <c r="B166" s="70" t="str">
        <f t="shared" si="6"/>
        <v>Electricity Authority levies</v>
      </c>
      <c r="C166" s="118" t="s">
        <v>186</v>
      </c>
      <c r="D166" s="215" t="str">
        <f>'Target Revenue'!E29</f>
        <v>MWh</v>
      </c>
      <c r="E166" s="215" t="str">
        <f>'Target Revenue'!F29</f>
        <v>Passthrough</v>
      </c>
      <c r="F166" s="70" t="s">
        <v>206</v>
      </c>
      <c r="H166" s="216">
        <f>INDEX($H$145:$K$150,MATCH($D166,$B$145:$B$150,0),0)*'Pricing Area Allocations'!H42</f>
        <v>13.357148710061427</v>
      </c>
      <c r="I166" s="216">
        <f>INDEX($H$145:$K$150,MATCH($D166,$B$145:$B$150,0),0)*'Pricing Area Allocations'!I42</f>
        <v>6.9155481391478739</v>
      </c>
      <c r="J166" s="216">
        <f>INDEX($H$145:$K$150,MATCH($D166,$B$145:$B$150,0),0)*'Pricing Area Allocations'!J42</f>
        <v>3.5558291762664833</v>
      </c>
      <c r="K166" s="216">
        <f>INDEX($H$145:$K$150,MATCH($D166,$B$145:$B$150,0),0)*'Pricing Area Allocations'!K42</f>
        <v>0</v>
      </c>
    </row>
    <row r="167" spans="1:11" ht="12" customHeight="1">
      <c r="B167" s="70" t="str">
        <f t="shared" si="6"/>
        <v>Electricity Authority levies</v>
      </c>
      <c r="C167" s="118" t="s">
        <v>186</v>
      </c>
      <c r="D167" s="215" t="str">
        <f>'Target Revenue'!E30</f>
        <v>ICP Count</v>
      </c>
      <c r="E167" s="215" t="str">
        <f>'Target Revenue'!F30</f>
        <v>Passthrough</v>
      </c>
      <c r="F167" s="70" t="s">
        <v>206</v>
      </c>
      <c r="H167" s="216">
        <f>INDEX($H$145:$K$150,MATCH($D167,$B$145:$B$150,0),0)*'Pricing Area Allocations'!H43</f>
        <v>0.11969943994201751</v>
      </c>
      <c r="I167" s="216">
        <f>INDEX($H$145:$K$150,MATCH($D167,$B$145:$B$150,0),0)*'Pricing Area Allocations'!I43</f>
        <v>8.6033972458325086E-2</v>
      </c>
      <c r="J167" s="216">
        <f>INDEX($H$145:$K$150,MATCH($D167,$B$145:$B$150,0),0)*'Pricing Area Allocations'!J43</f>
        <v>3.8652944147943159E-2</v>
      </c>
      <c r="K167" s="216">
        <f>INDEX($H$145:$K$150,MATCH($D167,$B$145:$B$150,0),0)*'Pricing Area Allocations'!K43</f>
        <v>0</v>
      </c>
    </row>
    <row r="168" spans="1:11" ht="12" customHeight="1">
      <c r="B168" s="70" t="str">
        <f t="shared" si="6"/>
        <v>Utilities Disputes levies</v>
      </c>
      <c r="C168" s="118" t="s">
        <v>186</v>
      </c>
      <c r="D168" s="215" t="str">
        <f>'Target Revenue'!E31</f>
        <v>ICP Count</v>
      </c>
      <c r="E168" s="215" t="str">
        <f>'Target Revenue'!F31</f>
        <v>Passthrough</v>
      </c>
      <c r="F168" s="70" t="s">
        <v>206</v>
      </c>
      <c r="H168" s="216">
        <f>INDEX($H$145:$K$150,MATCH($D168,$B$145:$B$150,0),0)*'Pricing Area Allocations'!H44</f>
        <v>0.15429874151676878</v>
      </c>
      <c r="I168" s="216">
        <f>INDEX($H$145:$K$150,MATCH($D168,$B$145:$B$150,0),0)*'Pricing Area Allocations'!I44</f>
        <v>0.11090222046517757</v>
      </c>
      <c r="J168" s="216">
        <f>INDEX($H$145:$K$150,MATCH($D168,$B$145:$B$150,0),0)*'Pricing Area Allocations'!J44</f>
        <v>4.9825635281456587E-2</v>
      </c>
      <c r="K168" s="216">
        <f>INDEX($H$145:$K$150,MATCH($D168,$B$145:$B$150,0),0)*'Pricing Area Allocations'!K44</f>
        <v>0</v>
      </c>
    </row>
    <row r="169" spans="1:11" ht="12" customHeight="1">
      <c r="B169" s="70" t="str">
        <f t="shared" si="6"/>
        <v>Opex Incentive Amount</v>
      </c>
      <c r="C169" s="118" t="s">
        <v>186</v>
      </c>
      <c r="D169" s="215" t="str">
        <f>'Target Revenue'!E32</f>
        <v>Prior year distribution revenue</v>
      </c>
      <c r="E169" s="215" t="str">
        <f>'Target Revenue'!F32</f>
        <v>Passthrough</v>
      </c>
      <c r="F169" s="70" t="s">
        <v>206</v>
      </c>
      <c r="H169" s="216">
        <f ca="1">INDEX($H$145:$K$150,MATCH($D169,$B$145:$B$150,0),0)*'Pricing Area Allocations'!H45</f>
        <v>420.28312028969788</v>
      </c>
      <c r="I169" s="216">
        <f ca="1">INDEX($H$145:$K$150,MATCH($D169,$B$145:$B$150,0),0)*'Pricing Area Allocations'!I45</f>
        <v>322.50951656897968</v>
      </c>
      <c r="J169" s="216">
        <f ca="1">INDEX($H$145:$K$150,MATCH($D169,$B$145:$B$150,0),0)*'Pricing Area Allocations'!J45</f>
        <v>152.24467367857565</v>
      </c>
      <c r="K169" s="216">
        <f ca="1">INDEX($H$145:$K$150,MATCH($D169,$B$145:$B$150,0),0)*'Pricing Area Allocations'!K45</f>
        <v>0</v>
      </c>
    </row>
    <row r="170" spans="1:11" ht="12" customHeight="1">
      <c r="B170" s="70" t="str">
        <f t="shared" si="6"/>
        <v>Capex Incentive Amount</v>
      </c>
      <c r="C170" s="118" t="s">
        <v>186</v>
      </c>
      <c r="D170" s="215" t="str">
        <f>'Target Revenue'!E33</f>
        <v>Regulated Asset Base</v>
      </c>
      <c r="E170" s="215" t="str">
        <f>'Target Revenue'!F33</f>
        <v>Passthrough</v>
      </c>
      <c r="F170" s="70" t="s">
        <v>206</v>
      </c>
      <c r="H170" s="216">
        <f ca="1">INDEX($H$145:$K$150,MATCH($D170,$B$145:$B$150,0),0)*'Pricing Area Allocations'!H46</f>
        <v>-91.040560048369969</v>
      </c>
      <c r="I170" s="216">
        <f ca="1">INDEX($H$145:$K$150,MATCH($D170,$B$145:$B$150,0),0)*'Pricing Area Allocations'!I46</f>
        <v>-90.332329801962544</v>
      </c>
      <c r="J170" s="216">
        <f ca="1">INDEX($H$145:$K$150,MATCH($D170,$B$145:$B$150,0),0)*'Pricing Area Allocations'!J46</f>
        <v>-40.67637222889843</v>
      </c>
      <c r="K170" s="216">
        <f ca="1">INDEX($H$145:$K$150,MATCH($D170,$B$145:$B$150,0),0)*'Pricing Area Allocations'!K46</f>
        <v>0</v>
      </c>
    </row>
    <row r="171" spans="1:11" ht="12" customHeight="1">
      <c r="B171" s="70" t="str">
        <f t="shared" si="6"/>
        <v>Transpower  - connection costs</v>
      </c>
      <c r="C171" s="118" t="s">
        <v>186</v>
      </c>
      <c r="D171" s="215" t="str">
        <f>'Target Revenue'!E34</f>
        <v>CPD</v>
      </c>
      <c r="E171" s="215" t="str">
        <f>'Target Revenue'!F34</f>
        <v>Passthrough</v>
      </c>
      <c r="F171" s="70" t="s">
        <v>206</v>
      </c>
      <c r="H171" s="216">
        <f>INDEX($H$145:$K$150,MATCH($D171,$B$145:$B$150,0),0)*'Pricing Area Allocations'!H47</f>
        <v>224.70074829339808</v>
      </c>
      <c r="I171" s="216">
        <f>INDEX($H$145:$K$150,MATCH($D171,$B$145:$B$150,0),0)*'Pricing Area Allocations'!I47</f>
        <v>49.100533918505818</v>
      </c>
      <c r="J171" s="216">
        <f>INDEX($H$145:$K$150,MATCH($D171,$B$145:$B$150,0),0)*'Pricing Area Allocations'!J47</f>
        <v>78.918441082635226</v>
      </c>
      <c r="K171" s="216">
        <f>INDEX($H$145:$K$150,MATCH($D171,$B$145:$B$150,0),0)*'Pricing Area Allocations'!K47</f>
        <v>0</v>
      </c>
    </row>
    <row r="172" spans="1:11" ht="12" customHeight="1">
      <c r="B172" s="70" t="str">
        <f t="shared" si="6"/>
        <v>Transpower - interconnection costs</v>
      </c>
      <c r="C172" s="118" t="s">
        <v>186</v>
      </c>
      <c r="D172" s="215" t="str">
        <f>'Target Revenue'!E35</f>
        <v>CPD</v>
      </c>
      <c r="E172" s="215" t="str">
        <f>'Target Revenue'!F35</f>
        <v>Passthrough</v>
      </c>
      <c r="F172" s="70" t="s">
        <v>206</v>
      </c>
      <c r="H172" s="216">
        <f>INDEX($H$145:$K$150,MATCH($D172,$B$145:$B$150,0),0)*'Pricing Area Allocations'!H48</f>
        <v>922.06228443055079</v>
      </c>
      <c r="I172" s="216">
        <f>INDEX($H$145:$K$150,MATCH($D172,$B$145:$B$150,0),0)*'Pricing Area Allocations'!I48</f>
        <v>201.48464486883688</v>
      </c>
      <c r="J172" s="216">
        <f>INDEX($H$145:$K$150,MATCH($D172,$B$145:$B$150,0),0)*'Pricing Area Allocations'!J48</f>
        <v>323.84279367569178</v>
      </c>
      <c r="K172" s="216">
        <f>INDEX($H$145:$K$150,MATCH($D172,$B$145:$B$150,0),0)*'Pricing Area Allocations'!K48</f>
        <v>0</v>
      </c>
    </row>
    <row r="173" spans="1:11" ht="12" customHeight="1">
      <c r="B173" s="70" t="str">
        <f t="shared" si="6"/>
        <v>Transpower - new investment contract</v>
      </c>
      <c r="C173" s="118" t="s">
        <v>186</v>
      </c>
      <c r="D173" s="215" t="str">
        <f>'Target Revenue'!E36</f>
        <v>CPD</v>
      </c>
      <c r="E173" s="215" t="str">
        <f>'Target Revenue'!F36</f>
        <v>Passthrough</v>
      </c>
      <c r="F173" s="70" t="s">
        <v>206</v>
      </c>
      <c r="H173" s="216">
        <f>INDEX($H$145:$K$150,MATCH($D173,$B$145:$B$150,0),0)*'Pricing Area Allocations'!H49</f>
        <v>3.9601410307919305</v>
      </c>
      <c r="I173" s="216">
        <f>INDEX($H$145:$K$150,MATCH($D173,$B$145:$B$150,0),0)*'Pricing Area Allocations'!I49</f>
        <v>33.220864000652369</v>
      </c>
      <c r="J173" s="216">
        <f>INDEX($H$145:$K$150,MATCH($D173,$B$145:$B$150,0),0)*'Pricing Area Allocations'!J49</f>
        <v>0</v>
      </c>
      <c r="K173" s="216">
        <f>INDEX($H$145:$K$150,MATCH($D173,$B$145:$B$150,0),0)*'Pricing Area Allocations'!K49</f>
        <v>0</v>
      </c>
    </row>
    <row r="174" spans="1:11" ht="12" customHeight="1">
      <c r="A174" s="180" t="str">
        <f t="shared" si="5"/>
        <v>Load group Streetlighting</v>
      </c>
      <c r="B174" s="70" t="str">
        <f t="shared" si="6"/>
        <v>Distributed Generation Allowance</v>
      </c>
      <c r="C174" s="118" t="s">
        <v>186</v>
      </c>
      <c r="D174" s="215" t="str">
        <f>'Target Revenue'!E37</f>
        <v>CPD</v>
      </c>
      <c r="E174" s="215" t="str">
        <f>'Target Revenue'!F37</f>
        <v>Passthrough</v>
      </c>
      <c r="F174" s="70" t="s">
        <v>206</v>
      </c>
      <c r="H174" s="216">
        <f>INDEX($H$145:$K$150,MATCH($D174,$B$145:$B$150,0),0)*'Pricing Area Allocations'!H50</f>
        <v>391.92577854577786</v>
      </c>
      <c r="I174" s="216">
        <f>INDEX($H$145:$K$150,MATCH($D174,$B$145:$B$150,0),0)*'Pricing Area Allocations'!I50</f>
        <v>21.668605498339108</v>
      </c>
      <c r="J174" s="216">
        <f>INDEX($H$145:$K$150,MATCH($D174,$B$145:$B$150,0),0)*'Pricing Area Allocations'!J50</f>
        <v>11.039980915484852</v>
      </c>
      <c r="K174" s="216">
        <f>INDEX($H$145:$K$150,MATCH($D174,$B$145:$B$150,0),0)*'Pricing Area Allocations'!K50</f>
        <v>0</v>
      </c>
    </row>
    <row r="175" spans="1:11" ht="12" customHeight="1">
      <c r="A175" s="180" t="str">
        <f t="shared" si="5"/>
        <v>Load group Streetlighting</v>
      </c>
      <c r="B175" s="70" t="str">
        <f t="shared" si="6"/>
        <v>CPP recoverable costs</v>
      </c>
      <c r="C175" s="118" t="s">
        <v>186</v>
      </c>
      <c r="D175" s="215" t="str">
        <f>'Target Revenue'!E38</f>
        <v>ICP Count</v>
      </c>
      <c r="E175" s="215" t="str">
        <f>'Target Revenue'!F38</f>
        <v>Passthrough</v>
      </c>
      <c r="F175" s="70" t="s">
        <v>206</v>
      </c>
      <c r="H175" s="216">
        <f ca="1">INDEX($H$145:$K$150,MATCH($D175,$B$145:$B$150,0),0)*'Pricing Area Allocations'!H51</f>
        <v>0</v>
      </c>
      <c r="I175" s="216">
        <f ca="1">INDEX($H$145:$K$150,MATCH($D175,$B$145:$B$150,0),0)*'Pricing Area Allocations'!I51</f>
        <v>0</v>
      </c>
      <c r="J175" s="216">
        <f ca="1">INDEX($H$145:$K$150,MATCH($D175,$B$145:$B$150,0),0)*'Pricing Area Allocations'!J51</f>
        <v>0</v>
      </c>
      <c r="K175" s="216">
        <f ca="1">INDEX($H$145:$K$150,MATCH($D175,$B$145:$B$150,0),0)*'Pricing Area Allocations'!K51</f>
        <v>0</v>
      </c>
    </row>
    <row r="176" spans="1:11" ht="12" customHeight="1">
      <c r="A176" s="180" t="str">
        <f t="shared" si="5"/>
        <v>Load group Streetlighting</v>
      </c>
      <c r="B176" s="70" t="str">
        <f t="shared" si="6"/>
        <v>Quality Incentive Adjustments</v>
      </c>
      <c r="C176" s="118" t="s">
        <v>186</v>
      </c>
      <c r="D176" s="215" t="str">
        <f>'Target Revenue'!E39</f>
        <v>ICP Count</v>
      </c>
      <c r="E176" s="215" t="str">
        <f>'Target Revenue'!F39</f>
        <v>Passthrough</v>
      </c>
      <c r="F176" s="70" t="s">
        <v>206</v>
      </c>
      <c r="H176" s="216">
        <f ca="1">INDEX($H$145:$K$150,MATCH($D176,$B$145:$B$150,0),0)*'Pricing Area Allocations'!H52</f>
        <v>-2.0640498176292651E-2</v>
      </c>
      <c r="I176" s="216">
        <f ca="1">INDEX($H$145:$K$150,MATCH($D176,$B$145:$B$150,0),0)*'Pricing Area Allocations'!I52</f>
        <v>-1.4835358064210344E-2</v>
      </c>
      <c r="J176" s="216">
        <f ca="1">INDEX($H$145:$K$150,MATCH($D176,$B$145:$B$150,0),0)*'Pricing Area Allocations'!J52</f>
        <v>-6.6651608694278369E-3</v>
      </c>
      <c r="K176" s="216">
        <f ca="1">INDEX($H$145:$K$150,MATCH($D176,$B$145:$B$150,0),0)*'Pricing Area Allocations'!K52</f>
        <v>0</v>
      </c>
    </row>
    <row r="177" spans="1:11" ht="12" customHeight="1">
      <c r="A177" s="180" t="str">
        <f t="shared" si="5"/>
        <v>Load group Streetlighting</v>
      </c>
      <c r="B177" s="70" t="str">
        <f t="shared" si="6"/>
        <v>Capex Wash-up Adjustment</v>
      </c>
      <c r="C177" s="118" t="s">
        <v>186</v>
      </c>
      <c r="D177" s="215" t="str">
        <f>'Target Revenue'!E40</f>
        <v>Regulated Asset Base</v>
      </c>
      <c r="E177" s="215" t="str">
        <f>'Target Revenue'!F40</f>
        <v>Passthrough</v>
      </c>
      <c r="F177" s="70" t="s">
        <v>206</v>
      </c>
      <c r="H177" s="216">
        <f ca="1">INDEX($H$145:$K$150,MATCH($D177,$B$145:$B$150,0),0)*'Pricing Area Allocations'!H53</f>
        <v>-47.868028410169629</v>
      </c>
      <c r="I177" s="216">
        <f ca="1">INDEX($H$145:$K$150,MATCH($D177,$B$145:$B$150,0),0)*'Pricing Area Allocations'!I53</f>
        <v>-47.495649488753067</v>
      </c>
      <c r="J177" s="216">
        <f ca="1">INDEX($H$145:$K$150,MATCH($D177,$B$145:$B$150,0),0)*'Pricing Area Allocations'!J53</f>
        <v>-21.387145909922452</v>
      </c>
      <c r="K177" s="216">
        <f ca="1">INDEX($H$145:$K$150,MATCH($D177,$B$145:$B$150,0),0)*'Pricing Area Allocations'!K53</f>
        <v>0</v>
      </c>
    </row>
    <row r="178" spans="1:11" ht="12" customHeight="1">
      <c r="A178" s="180" t="str">
        <f t="shared" si="5"/>
        <v>Load group Streetlighting</v>
      </c>
      <c r="B178" s="70" t="str">
        <f t="shared" si="6"/>
        <v>Fire and Emergency Management New Zealand (FENZ) levies</v>
      </c>
      <c r="C178" s="118" t="s">
        <v>186</v>
      </c>
      <c r="D178" s="215" t="str">
        <f>'Target Revenue'!E41</f>
        <v>Regulated Asset Base</v>
      </c>
      <c r="E178" s="215" t="str">
        <f>'Target Revenue'!F41</f>
        <v>Passthrough</v>
      </c>
      <c r="F178" s="70" t="s">
        <v>206</v>
      </c>
      <c r="H178" s="216">
        <f>INDEX($H$145:$K$150,MATCH($D178,$B$145:$B$150,0),0)*'Pricing Area Allocations'!H54</f>
        <v>2.6048363429187282</v>
      </c>
      <c r="I178" s="216">
        <f>INDEX($H$145:$K$150,MATCH($D178,$B$145:$B$150,0),0)*'Pricing Area Allocations'!I54</f>
        <v>2.584572584830946</v>
      </c>
      <c r="J178" s="216">
        <f>INDEX($H$145:$K$150,MATCH($D178,$B$145:$B$150,0),0)*'Pricing Area Allocations'!J54</f>
        <v>1.1638251414933136</v>
      </c>
      <c r="K178" s="216">
        <f>INDEX($H$145:$K$150,MATCH($D178,$B$145:$B$150,0),0)*'Pricing Area Allocations'!K54</f>
        <v>0</v>
      </c>
    </row>
    <row r="179" spans="1:11" ht="12" customHeight="1">
      <c r="A179" s="217"/>
      <c r="B179" s="218" t="s">
        <v>7</v>
      </c>
      <c r="C179" s="163"/>
      <c r="D179" s="88"/>
      <c r="E179" s="88"/>
      <c r="F179" s="88"/>
      <c r="G179" s="88"/>
      <c r="H179" s="219">
        <f ca="1">SUM(H154:H178)</f>
        <v>5446.2236228222991</v>
      </c>
      <c r="I179" s="220">
        <f ca="1">SUM(I154:I178)</f>
        <v>4048.3646622889582</v>
      </c>
      <c r="J179" s="220">
        <f ca="1">SUM(J154:J178)</f>
        <v>2046.2688642835426</v>
      </c>
      <c r="K179" s="220">
        <f ca="1">SUM(K154:K178)</f>
        <v>0</v>
      </c>
    </row>
    <row r="180" spans="1:11" ht="12" customHeight="1">
      <c r="A180" s="217"/>
      <c r="B180" s="218"/>
      <c r="C180" s="163"/>
      <c r="D180" s="88"/>
      <c r="E180" s="88"/>
      <c r="F180" s="88"/>
      <c r="G180" s="88"/>
      <c r="H180" s="219"/>
      <c r="I180" s="220"/>
      <c r="J180" s="220"/>
      <c r="K180" s="220"/>
    </row>
    <row r="181" spans="1:11" ht="12" customHeight="1">
      <c r="A181" s="217"/>
      <c r="B181" s="218"/>
      <c r="C181" s="163"/>
      <c r="D181" s="221"/>
      <c r="E181" s="88" t="str">
        <f>'Name labels'!$B$62</f>
        <v>Distribution</v>
      </c>
      <c r="F181" s="88"/>
      <c r="G181" s="88"/>
      <c r="H181" s="219">
        <f ca="1">SUMIF($E154:H178,$E181,H154:H178)</f>
        <v>3501.9598146044691</v>
      </c>
      <c r="I181" s="219">
        <f ca="1">SUMIF($E154:I178,$E181,I154:I178)</f>
        <v>3445.3105135449882</v>
      </c>
      <c r="J181" s="219">
        <f ca="1">SUMIF($E154:J178,$E181,J154:J178)</f>
        <v>1491.0072921096489</v>
      </c>
      <c r="K181" s="219">
        <f ca="1">SUMIF($E154:K178,$E181,K154:K178)</f>
        <v>0</v>
      </c>
    </row>
    <row r="182" spans="1:11" ht="12" customHeight="1">
      <c r="A182" s="217"/>
      <c r="B182" s="218"/>
      <c r="C182" s="163"/>
      <c r="D182" s="88"/>
      <c r="E182" s="88" t="str">
        <f>'Name labels'!$B$63</f>
        <v>Passthrough</v>
      </c>
      <c r="F182" s="88"/>
      <c r="G182" s="88"/>
      <c r="H182" s="219">
        <f ca="1">SUMIF($E154:H178,$E182,H154:H178)</f>
        <v>1944.2638082178296</v>
      </c>
      <c r="I182" s="219">
        <f ca="1">SUMIF($E154:I178,$E182,I154:I178)</f>
        <v>603.05414874397047</v>
      </c>
      <c r="J182" s="219">
        <f ca="1">SUMIF($E154:J178,$E182,J154:J178)</f>
        <v>555.26157217389368</v>
      </c>
      <c r="K182" s="219">
        <f ca="1">SUMIF($E154:K178,$E182,K154:K178)</f>
        <v>0</v>
      </c>
    </row>
    <row r="183" spans="1:11" ht="12" customHeight="1">
      <c r="A183" s="217"/>
      <c r="B183" s="81"/>
      <c r="C183" s="163"/>
      <c r="D183" s="88"/>
      <c r="E183" s="88"/>
      <c r="F183" s="88"/>
      <c r="G183" s="88"/>
    </row>
    <row r="184" spans="1:11" ht="22.5">
      <c r="A184" s="211"/>
      <c r="B184" s="212" t="str">
        <f>'Name labels'!C$14</f>
        <v>Load group 4</v>
      </c>
      <c r="C184" s="209" t="s">
        <v>178</v>
      </c>
      <c r="D184" s="210" t="s">
        <v>205</v>
      </c>
      <c r="E184" s="213" t="s">
        <v>98</v>
      </c>
      <c r="F184" s="214"/>
      <c r="G184" s="214"/>
      <c r="H184" s="214"/>
      <c r="I184" s="214"/>
      <c r="J184" s="214"/>
      <c r="K184" s="214"/>
    </row>
    <row r="185" spans="1:11" ht="12" customHeight="1">
      <c r="H185" s="214"/>
    </row>
    <row r="186" spans="1:11" ht="12" customHeight="1">
      <c r="B186" s="161" t="s">
        <v>207</v>
      </c>
    </row>
    <row r="188" spans="1:11" ht="12" customHeight="1">
      <c r="B188" s="70" t="str">
        <f>'Name labels'!C$47</f>
        <v>ICP Count</v>
      </c>
      <c r="C188" s="198" t="s">
        <v>6</v>
      </c>
      <c r="H188" s="82">
        <f>'Allocator Data'!I$30</f>
        <v>1.3302175085385583E-3</v>
      </c>
      <c r="I188" s="82">
        <f>'Allocator Data'!J$30</f>
        <v>1.7794427534535238E-3</v>
      </c>
      <c r="J188" s="82">
        <f>'Allocator Data'!K$30</f>
        <v>1.8651362984218078E-3</v>
      </c>
      <c r="K188" s="82">
        <f>'Allocator Data'!L$30</f>
        <v>0</v>
      </c>
    </row>
    <row r="189" spans="1:11" ht="12" customHeight="1">
      <c r="B189" s="70" t="str">
        <f>'Name labels'!C$48</f>
        <v>CPD</v>
      </c>
      <c r="C189" s="198" t="s">
        <v>6</v>
      </c>
      <c r="H189" s="82">
        <f>'Allocator Data'!I$70</f>
        <v>9.2655026566951584E-2</v>
      </c>
      <c r="I189" s="82">
        <f>'Allocator Data'!J$70</f>
        <v>7.5384701107901617E-2</v>
      </c>
      <c r="J189" s="82">
        <f>'Allocator Data'!K$70</f>
        <v>0.10028193776454647</v>
      </c>
      <c r="K189" s="82">
        <f>'Allocator Data'!L$70</f>
        <v>0</v>
      </c>
    </row>
    <row r="190" spans="1:11" ht="12" customHeight="1">
      <c r="B190" s="70" t="str">
        <f>'Name labels'!C$49</f>
        <v>Prior year distribution revenue</v>
      </c>
      <c r="C190" s="198" t="s">
        <v>6</v>
      </c>
      <c r="H190" s="82">
        <f>'Allocator Data'!I$118</f>
        <v>5.7174459290860222E-2</v>
      </c>
      <c r="I190" s="82">
        <f>'Allocator Data'!J$118</f>
        <v>6.5376794783916434E-2</v>
      </c>
      <c r="J190" s="82">
        <f>'Allocator Data'!K$118</f>
        <v>7.3902921214075892E-2</v>
      </c>
      <c r="K190" s="82">
        <f>'Allocator Data'!L$118</f>
        <v>0</v>
      </c>
    </row>
    <row r="191" spans="1:11" ht="12" customHeight="1">
      <c r="B191" s="70" t="str">
        <f>'Name labels'!C$50</f>
        <v>MWh</v>
      </c>
      <c r="C191" s="198" t="s">
        <v>6</v>
      </c>
      <c r="H191" s="82">
        <f>'Allocator Data'!I$142</f>
        <v>0.1245297609628862</v>
      </c>
      <c r="I191" s="82">
        <f>'Allocator Data'!J$142</f>
        <v>0.10896580235365012</v>
      </c>
      <c r="J191" s="82">
        <f>'Allocator Data'!K$142</f>
        <v>0.15292234134404706</v>
      </c>
      <c r="K191" s="82">
        <f>'Allocator Data'!L$142</f>
        <v>0</v>
      </c>
    </row>
    <row r="192" spans="1:11" ht="12" customHeight="1">
      <c r="B192" s="70" t="str">
        <f>'Name labels'!C$51</f>
        <v>Regulated Asset Base</v>
      </c>
      <c r="C192" s="198" t="s">
        <v>6</v>
      </c>
      <c r="H192" s="82">
        <f>'RAB Allocations'!I$31</f>
        <v>0.16552883874329818</v>
      </c>
      <c r="I192" s="82">
        <f>'RAB Allocations'!J$31</f>
        <v>0.23530357052725395</v>
      </c>
      <c r="J192" s="82">
        <f>'RAB Allocations'!K$31</f>
        <v>0.24694915856777677</v>
      </c>
      <c r="K192" s="82">
        <f>'RAB Allocations'!L$31</f>
        <v>0</v>
      </c>
    </row>
    <row r="193" spans="1:11" ht="12" customHeight="1">
      <c r="B193" s="70" t="str">
        <f>'Name labels'!C$52</f>
        <v>Regulated Asset Base (Depreciation)</v>
      </c>
      <c r="C193" s="198"/>
      <c r="H193" s="82">
        <f>'RAB - Depreciation Allocations'!I$31</f>
        <v>0.16890642345625057</v>
      </c>
      <c r="I193" s="82">
        <f>'RAB - Depreciation Allocations'!J$31</f>
        <v>0.2517445122689369</v>
      </c>
      <c r="J193" s="82">
        <f>'RAB - Depreciation Allocations'!K$31</f>
        <v>0.24910633452925954</v>
      </c>
      <c r="K193" s="82">
        <f>'RAB - Depreciation Allocations'!L$31</f>
        <v>0</v>
      </c>
    </row>
    <row r="195" spans="1:11" ht="12" customHeight="1">
      <c r="B195" s="161" t="str">
        <f>B184&amp;" Allocation"</f>
        <v>Load group 4 Allocation</v>
      </c>
    </row>
    <row r="196" spans="1:11" ht="12" customHeight="1">
      <c r="B196" s="88"/>
    </row>
    <row r="197" spans="1:11" ht="12" customHeight="1">
      <c r="A197" s="180" t="str">
        <f>$B$12</f>
        <v>Load group Streetlighting</v>
      </c>
      <c r="B197" s="70" t="str">
        <f>B154</f>
        <v>Service interruptions and emergencies</v>
      </c>
      <c r="C197" s="118" t="s">
        <v>186</v>
      </c>
      <c r="D197" s="215" t="str">
        <f>'Target Revenue'!E17</f>
        <v>CPD</v>
      </c>
      <c r="E197" s="215" t="str">
        <f>'Target Revenue'!F17</f>
        <v>Distribution</v>
      </c>
      <c r="F197" s="70" t="s">
        <v>206</v>
      </c>
      <c r="H197" s="216">
        <f ca="1">INDEX($H$188:$K$193,MATCH($D197,$B$188:$B$193,0),0)*'Pricing Area Allocations'!H30</f>
        <v>71.76712541324035</v>
      </c>
      <c r="I197" s="216">
        <f ca="1">INDEX($H$188:$K$193,MATCH($D197,$B$188:$B$193,0),0)*'Pricing Area Allocations'!I30</f>
        <v>67.725743251914267</v>
      </c>
      <c r="J197" s="216">
        <f ca="1">INDEX($H$188:$K$193,MATCH($D197,$B$188:$B$193,0),0)*'Pricing Area Allocations'!J30</f>
        <v>32.856081970990061</v>
      </c>
      <c r="K197" s="216">
        <f ca="1">INDEX($H$188:$K$193,MATCH($D197,$B$188:$B$193,0),0)*'Pricing Area Allocations'!K30</f>
        <v>0</v>
      </c>
    </row>
    <row r="198" spans="1:11" ht="12" customHeight="1">
      <c r="A198" s="180" t="str">
        <f t="shared" ref="A198:A221" si="7">$B$12</f>
        <v>Load group Streetlighting</v>
      </c>
      <c r="B198" s="70" t="str">
        <f t="shared" ref="B198:B221" si="8">B155</f>
        <v>Service interruptions and emergencies</v>
      </c>
      <c r="C198" s="118" t="s">
        <v>186</v>
      </c>
      <c r="D198" s="215" t="str">
        <f>'Target Revenue'!E18</f>
        <v>ICP Count</v>
      </c>
      <c r="E198" s="215" t="str">
        <f>'Target Revenue'!F18</f>
        <v>Distribution</v>
      </c>
      <c r="F198" s="70" t="s">
        <v>206</v>
      </c>
      <c r="H198" s="216">
        <f ca="1">INDEX($H$188:$K$193,MATCH($D198,$B$188:$B$193,0),0)*'Pricing Area Allocations'!H31</f>
        <v>1.6273398816431492</v>
      </c>
      <c r="I198" s="216">
        <f ca="1">INDEX($H$188:$K$193,MATCH($D198,$B$188:$B$193,0),0)*'Pricing Area Allocations'!I31</f>
        <v>0.83566102030323874</v>
      </c>
      <c r="J198" s="216">
        <f ca="1">INDEX($H$188:$K$193,MATCH($D198,$B$188:$B$193,0),0)*'Pricing Area Allocations'!J31</f>
        <v>0.57176806652326861</v>
      </c>
      <c r="K198" s="216">
        <f ca="1">INDEX($H$188:$K$193,MATCH($D198,$B$188:$B$193,0),0)*'Pricing Area Allocations'!K31</f>
        <v>0</v>
      </c>
    </row>
    <row r="199" spans="1:11" ht="12" customHeight="1">
      <c r="A199" s="180" t="str">
        <f t="shared" si="7"/>
        <v>Load group Streetlighting</v>
      </c>
      <c r="B199" s="70" t="str">
        <f t="shared" si="8"/>
        <v>Vegetation management</v>
      </c>
      <c r="C199" s="118" t="s">
        <v>186</v>
      </c>
      <c r="D199" s="215" t="str">
        <f>'Target Revenue'!E19</f>
        <v>CPD</v>
      </c>
      <c r="E199" s="215" t="str">
        <f>'Target Revenue'!F19</f>
        <v>Distribution</v>
      </c>
      <c r="F199" s="70" t="s">
        <v>206</v>
      </c>
      <c r="H199" s="216">
        <f ca="1">INDEX($H$188:$K$193,MATCH($D199,$B$188:$B$193,0),0)*'Pricing Area Allocations'!H32</f>
        <v>177.96515872374601</v>
      </c>
      <c r="I199" s="216">
        <f ca="1">INDEX($H$188:$K$193,MATCH($D199,$B$188:$B$193,0),0)*'Pricing Area Allocations'!I32</f>
        <v>149.65984350742096</v>
      </c>
      <c r="J199" s="216">
        <f ca="1">INDEX($H$188:$K$193,MATCH($D199,$B$188:$B$193,0),0)*'Pricing Area Allocations'!J32</f>
        <v>46.904328454403498</v>
      </c>
      <c r="K199" s="216">
        <f ca="1">INDEX($H$188:$K$193,MATCH($D199,$B$188:$B$193,0),0)*'Pricing Area Allocations'!K32</f>
        <v>0</v>
      </c>
    </row>
    <row r="200" spans="1:11" ht="12" customHeight="1">
      <c r="B200" s="70" t="str">
        <f t="shared" si="8"/>
        <v>Routine and corrective maintenance and inspection</v>
      </c>
      <c r="C200" s="118" t="s">
        <v>186</v>
      </c>
      <c r="D200" s="215" t="str">
        <f>'Target Revenue'!E20</f>
        <v>CPD</v>
      </c>
      <c r="E200" s="215" t="str">
        <f>'Target Revenue'!F20</f>
        <v>Distribution</v>
      </c>
      <c r="F200" s="70" t="s">
        <v>206</v>
      </c>
      <c r="H200" s="216">
        <f ca="1">INDEX($H$188:$K$193,MATCH($D200,$B$188:$B$193,0),0)*'Pricing Area Allocations'!H33</f>
        <v>301.72359844303566</v>
      </c>
      <c r="I200" s="216">
        <f ca="1">INDEX($H$188:$K$193,MATCH($D200,$B$188:$B$193,0),0)*'Pricing Area Allocations'!I33</f>
        <v>284.7328054946276</v>
      </c>
      <c r="J200" s="216">
        <f ca="1">INDEX($H$188:$K$193,MATCH($D200,$B$188:$B$193,0),0)*'Pricing Area Allocations'!J33</f>
        <v>138.13365417583699</v>
      </c>
      <c r="K200" s="216">
        <f ca="1">INDEX($H$188:$K$193,MATCH($D200,$B$188:$B$193,0),0)*'Pricing Area Allocations'!K33</f>
        <v>0</v>
      </c>
    </row>
    <row r="201" spans="1:11" ht="12" customHeight="1">
      <c r="B201" s="70" t="str">
        <f t="shared" si="8"/>
        <v>System operations and network support</v>
      </c>
      <c r="C201" s="118" t="s">
        <v>186</v>
      </c>
      <c r="D201" s="215" t="str">
        <f>'Target Revenue'!E21</f>
        <v>ICP Count</v>
      </c>
      <c r="E201" s="215" t="str">
        <f>'Target Revenue'!F21</f>
        <v>Distribution</v>
      </c>
      <c r="F201" s="70" t="s">
        <v>206</v>
      </c>
      <c r="H201" s="216">
        <f ca="1">INDEX($H$188:$K$193,MATCH($D201,$B$188:$B$193,0),0)*'Pricing Area Allocations'!H34</f>
        <v>10.826012115049028</v>
      </c>
      <c r="I201" s="216">
        <f ca="1">INDEX($H$188:$K$193,MATCH($D201,$B$188:$B$193,0),0)*'Pricing Area Allocations'!I34</f>
        <v>5.559303518538691</v>
      </c>
      <c r="J201" s="216">
        <f ca="1">INDEX($H$188:$K$193,MATCH($D201,$B$188:$B$193,0),0)*'Pricing Area Allocations'!J34</f>
        <v>3.8037339863685782</v>
      </c>
      <c r="K201" s="216">
        <f ca="1">INDEX($H$188:$K$193,MATCH($D201,$B$188:$B$193,0),0)*'Pricing Area Allocations'!K34</f>
        <v>0</v>
      </c>
    </row>
    <row r="202" spans="1:11" ht="12" customHeight="1">
      <c r="B202" s="70" t="str">
        <f t="shared" si="8"/>
        <v>Business support</v>
      </c>
      <c r="C202" s="118" t="s">
        <v>186</v>
      </c>
      <c r="D202" s="215" t="str">
        <f>'Target Revenue'!E22</f>
        <v>ICP Count</v>
      </c>
      <c r="E202" s="215" t="str">
        <f>'Target Revenue'!F22</f>
        <v>Distribution</v>
      </c>
      <c r="F202" s="70" t="s">
        <v>206</v>
      </c>
      <c r="H202" s="216">
        <f ca="1">INDEX($H$188:$K$193,MATCH($D202,$B$188:$B$193,0),0)*'Pricing Area Allocations'!H35</f>
        <v>10.752660565234109</v>
      </c>
      <c r="I202" s="216">
        <f ca="1">INDEX($H$188:$K$193,MATCH($D202,$B$188:$B$193,0),0)*'Pricing Area Allocations'!I35</f>
        <v>5.5216365064715687</v>
      </c>
      <c r="J202" s="216">
        <f ca="1">INDEX($H$188:$K$193,MATCH($D202,$B$188:$B$193,0),0)*'Pricing Area Allocations'!J35</f>
        <v>3.7779618202173895</v>
      </c>
      <c r="K202" s="216">
        <f ca="1">INDEX($H$188:$K$193,MATCH($D202,$B$188:$B$193,0),0)*'Pricing Area Allocations'!K35</f>
        <v>0</v>
      </c>
    </row>
    <row r="203" spans="1:11" ht="12" customHeight="1">
      <c r="B203" s="70" t="str">
        <f t="shared" si="8"/>
        <v>Depreciation</v>
      </c>
      <c r="C203" s="118" t="s">
        <v>186</v>
      </c>
      <c r="D203" s="215" t="str">
        <f>'Target Revenue'!E23</f>
        <v>Regulated Asset Base (Depreciation)</v>
      </c>
      <c r="E203" s="215" t="str">
        <f>'Target Revenue'!F23</f>
        <v>Distribution</v>
      </c>
      <c r="F203" s="70" t="s">
        <v>206</v>
      </c>
      <c r="H203" s="216">
        <f ca="1">INDEX($H$188:$K$193,MATCH($D203,$B$188:$B$193,0),0)*'Pricing Area Allocations'!H36</f>
        <v>1326.0812816018579</v>
      </c>
      <c r="I203" s="216">
        <f ca="1">INDEX($H$188:$K$193,MATCH($D203,$B$188:$B$193,0),0)*'Pricing Area Allocations'!I36</f>
        <v>1380.1663839929122</v>
      </c>
      <c r="J203" s="216">
        <f ca="1">INDEX($H$188:$K$193,MATCH($D203,$B$188:$B$193,0),0)*'Pricing Area Allocations'!J36</f>
        <v>859.68645660796585</v>
      </c>
      <c r="K203" s="216">
        <f ca="1">INDEX($H$188:$K$193,MATCH($D203,$B$188:$B$193,0),0)*'Pricing Area Allocations'!K36</f>
        <v>0</v>
      </c>
    </row>
    <row r="204" spans="1:11" ht="12" customHeight="1">
      <c r="B204" s="70" t="str">
        <f t="shared" si="8"/>
        <v>Asset revaluations and other regulatory revenue</v>
      </c>
      <c r="C204" s="118" t="s">
        <v>186</v>
      </c>
      <c r="D204" s="215" t="str">
        <f>'Target Revenue'!E24</f>
        <v>Regulated Asset Base</v>
      </c>
      <c r="E204" s="215" t="str">
        <f>'Target Revenue'!F24</f>
        <v>Distribution</v>
      </c>
      <c r="F204" s="70" t="s">
        <v>206</v>
      </c>
      <c r="H204" s="216">
        <f ca="1">INDEX($H$188:$K$193,MATCH($D204,$B$188:$B$193,0),0)*'Pricing Area Allocations'!H37</f>
        <v>-807.37651208346028</v>
      </c>
      <c r="I204" s="216">
        <f ca="1">INDEX($H$188:$K$193,MATCH($D204,$B$188:$B$193,0),0)*'Pricing Area Allocations'!I37</f>
        <v>-815.41878133155649</v>
      </c>
      <c r="J204" s="216">
        <f ca="1">INDEX($H$188:$K$193,MATCH($D204,$B$188:$B$193,0),0)*'Pricing Area Allocations'!J37</f>
        <v>-505.64583382022789</v>
      </c>
      <c r="K204" s="216">
        <f ca="1">INDEX($H$188:$K$193,MATCH($D204,$B$188:$B$193,0),0)*'Pricing Area Allocations'!K37</f>
        <v>0</v>
      </c>
    </row>
    <row r="205" spans="1:11" ht="12" customHeight="1">
      <c r="B205" s="70" t="str">
        <f t="shared" si="8"/>
        <v>Tax</v>
      </c>
      <c r="C205" s="118" t="s">
        <v>186</v>
      </c>
      <c r="D205" s="215" t="str">
        <f>'Target Revenue'!E25</f>
        <v>Regulated Asset Base</v>
      </c>
      <c r="E205" s="215" t="str">
        <f>'Target Revenue'!F25</f>
        <v>Distribution</v>
      </c>
      <c r="F205" s="70" t="s">
        <v>206</v>
      </c>
      <c r="H205" s="216">
        <f ca="1">INDEX($H$188:$K$193,MATCH($D205,$B$188:$B$193,0),0)*'Pricing Area Allocations'!H38</f>
        <v>367.04060014407924</v>
      </c>
      <c r="I205" s="216">
        <f ca="1">INDEX($H$188:$K$193,MATCH($D205,$B$188:$B$193,0),0)*'Pricing Area Allocations'!I38</f>
        <v>370.69668783942745</v>
      </c>
      <c r="J205" s="216">
        <f ca="1">INDEX($H$188:$K$193,MATCH($D205,$B$188:$B$193,0),0)*'Pricing Area Allocations'!J38</f>
        <v>229.87112893190616</v>
      </c>
      <c r="K205" s="216">
        <f ca="1">INDEX($H$188:$K$193,MATCH($D205,$B$188:$B$193,0),0)*'Pricing Area Allocations'!K38</f>
        <v>0</v>
      </c>
    </row>
    <row r="206" spans="1:11" ht="12" customHeight="1">
      <c r="B206" s="70" t="str">
        <f t="shared" si="8"/>
        <v>Return on capital</v>
      </c>
      <c r="C206" s="118" t="s">
        <v>186</v>
      </c>
      <c r="D206" s="215" t="str">
        <f>'Target Revenue'!E26</f>
        <v>Regulated Asset Base</v>
      </c>
      <c r="E206" s="215" t="str">
        <f>'Target Revenue'!F26</f>
        <v>Distribution</v>
      </c>
      <c r="F206" s="70" t="s">
        <v>206</v>
      </c>
      <c r="H206" s="216">
        <f ca="1">INDEX($H$188:$K$193,MATCH($D206,$B$188:$B$193,0),0)*'Pricing Area Allocations'!H39</f>
        <v>2208.9549219932592</v>
      </c>
      <c r="I206" s="216">
        <f ca="1">INDEX($H$188:$K$193,MATCH($D206,$B$188:$B$193,0),0)*'Pricing Area Allocations'!I39</f>
        <v>2230.9582995670435</v>
      </c>
      <c r="J206" s="216">
        <f ca="1">INDEX($H$188:$K$193,MATCH($D206,$B$188:$B$193,0),0)*'Pricing Area Allocations'!J39</f>
        <v>1383.4299570100904</v>
      </c>
      <c r="K206" s="216">
        <f ca="1">INDEX($H$188:$K$193,MATCH($D206,$B$188:$B$193,0),0)*'Pricing Area Allocations'!K39</f>
        <v>0</v>
      </c>
    </row>
    <row r="207" spans="1:11" ht="12" customHeight="1">
      <c r="B207" s="70" t="str">
        <f t="shared" si="8"/>
        <v>Local Authority rates</v>
      </c>
      <c r="C207" s="118" t="s">
        <v>186</v>
      </c>
      <c r="D207" s="215" t="str">
        <f>'Target Revenue'!E27</f>
        <v>Regulated Asset Base</v>
      </c>
      <c r="E207" s="215" t="str">
        <f>'Target Revenue'!F27</f>
        <v>Passthrough</v>
      </c>
      <c r="F207" s="70" t="s">
        <v>206</v>
      </c>
      <c r="H207" s="216">
        <f>INDEX($H$188:$K$193,MATCH($D207,$B$188:$B$193,0),0)*'Pricing Area Allocations'!H40</f>
        <v>88.120927184084664</v>
      </c>
      <c r="I207" s="216">
        <f>INDEX($H$188:$K$193,MATCH($D207,$B$188:$B$193,0),0)*'Pricing Area Allocations'!I40</f>
        <v>88.998698846004189</v>
      </c>
      <c r="J207" s="216">
        <f>INDEX($H$188:$K$193,MATCH($D207,$B$188:$B$193,0),0)*'Pricing Area Allocations'!J40</f>
        <v>55.188600406549881</v>
      </c>
      <c r="K207" s="216">
        <f>INDEX($H$188:$K$193,MATCH($D207,$B$188:$B$193,0),0)*'Pricing Area Allocations'!K40</f>
        <v>0</v>
      </c>
    </row>
    <row r="208" spans="1:11" ht="12" customHeight="1">
      <c r="B208" s="70" t="str">
        <f t="shared" si="8"/>
        <v>Commerce Act levies</v>
      </c>
      <c r="C208" s="118" t="s">
        <v>186</v>
      </c>
      <c r="D208" s="215" t="str">
        <f>'Target Revenue'!E28</f>
        <v>Regulated Asset Base</v>
      </c>
      <c r="E208" s="215" t="str">
        <f>'Target Revenue'!F28</f>
        <v>Passthrough</v>
      </c>
      <c r="F208" s="70" t="s">
        <v>206</v>
      </c>
      <c r="H208" s="216">
        <f>INDEX($H$188:$K$193,MATCH($D208,$B$188:$B$193,0),0)*'Pricing Area Allocations'!H41</f>
        <v>22.082129376514271</v>
      </c>
      <c r="I208" s="216">
        <f>INDEX($H$188:$K$193,MATCH($D208,$B$188:$B$193,0),0)*'Pricing Area Allocations'!I41</f>
        <v>22.302089243267073</v>
      </c>
      <c r="J208" s="216">
        <f>INDEX($H$188:$K$193,MATCH($D208,$B$188:$B$193,0),0)*'Pricing Area Allocations'!J41</f>
        <v>13.829652651524597</v>
      </c>
      <c r="K208" s="216">
        <f>INDEX($H$188:$K$193,MATCH($D208,$B$188:$B$193,0),0)*'Pricing Area Allocations'!K41</f>
        <v>0</v>
      </c>
    </row>
    <row r="209" spans="1:11" ht="12" customHeight="1">
      <c r="B209" s="70" t="str">
        <f t="shared" si="8"/>
        <v>Electricity Authority levies</v>
      </c>
      <c r="C209" s="118" t="s">
        <v>186</v>
      </c>
      <c r="D209" s="215" t="str">
        <f>'Target Revenue'!E29</f>
        <v>MWh</v>
      </c>
      <c r="E209" s="215" t="str">
        <f>'Target Revenue'!F29</f>
        <v>Passthrough</v>
      </c>
      <c r="F209" s="70" t="s">
        <v>206</v>
      </c>
      <c r="H209" s="216">
        <f>INDEX($H$188:$K$193,MATCH($D209,$B$188:$B$193,0),0)*'Pricing Area Allocations'!H42</f>
        <v>17.041680671069507</v>
      </c>
      <c r="I209" s="216">
        <f>INDEX($H$188:$K$193,MATCH($D209,$B$188:$B$193,0),0)*'Pricing Area Allocations'!I42</f>
        <v>5.4313622944818869</v>
      </c>
      <c r="J209" s="216">
        <f>INDEX($H$188:$K$193,MATCH($D209,$B$188:$B$193,0),0)*'Pricing Area Allocations'!J42</f>
        <v>6.1550316838566186</v>
      </c>
      <c r="K209" s="216">
        <f>INDEX($H$188:$K$193,MATCH($D209,$B$188:$B$193,0),0)*'Pricing Area Allocations'!K42</f>
        <v>0</v>
      </c>
    </row>
    <row r="210" spans="1:11" ht="12" customHeight="1">
      <c r="B210" s="70" t="str">
        <f t="shared" si="8"/>
        <v>Electricity Authority levies</v>
      </c>
      <c r="C210" s="118" t="s">
        <v>186</v>
      </c>
      <c r="D210" s="215" t="str">
        <f>'Target Revenue'!E30</f>
        <v>ICP Count</v>
      </c>
      <c r="E210" s="215" t="str">
        <f>'Target Revenue'!F30</f>
        <v>Passthrough</v>
      </c>
      <c r="F210" s="70" t="s">
        <v>206</v>
      </c>
      <c r="H210" s="216">
        <f>INDEX($H$188:$K$193,MATCH($D210,$B$188:$B$193,0),0)*'Pricing Area Allocations'!H43</f>
        <v>4.6134159144319252E-2</v>
      </c>
      <c r="I210" s="216">
        <f>INDEX($H$188:$K$193,MATCH($D210,$B$188:$B$193,0),0)*'Pricing Area Allocations'!I43</f>
        <v>2.3690514155190964E-2</v>
      </c>
      <c r="J210" s="216">
        <f>INDEX($H$188:$K$193,MATCH($D210,$B$188:$B$193,0),0)*'Pricing Area Allocations'!J43</f>
        <v>1.6209299158814871E-2</v>
      </c>
      <c r="K210" s="216">
        <f>INDEX($H$188:$K$193,MATCH($D210,$B$188:$B$193,0),0)*'Pricing Area Allocations'!K43</f>
        <v>0</v>
      </c>
    </row>
    <row r="211" spans="1:11" ht="12" customHeight="1">
      <c r="B211" s="70" t="str">
        <f t="shared" si="8"/>
        <v>Utilities Disputes levies</v>
      </c>
      <c r="C211" s="118" t="s">
        <v>186</v>
      </c>
      <c r="D211" s="215" t="str">
        <f>'Target Revenue'!E31</f>
        <v>ICP Count</v>
      </c>
      <c r="E211" s="215" t="str">
        <f>'Target Revenue'!F31</f>
        <v>Passthrough</v>
      </c>
      <c r="F211" s="70" t="s">
        <v>206</v>
      </c>
      <c r="H211" s="216">
        <f>INDEX($H$188:$K$193,MATCH($D211,$B$188:$B$193,0),0)*'Pricing Area Allocations'!H44</f>
        <v>5.9469306626254638E-2</v>
      </c>
      <c r="I211" s="216">
        <f>INDEX($H$188:$K$193,MATCH($D211,$B$188:$B$193,0),0)*'Pricing Area Allocations'!I44</f>
        <v>3.0538292591860489E-2</v>
      </c>
      <c r="J211" s="216">
        <f>INDEX($H$188:$K$193,MATCH($D211,$B$188:$B$193,0),0)*'Pricing Area Allocations'!J44</f>
        <v>2.0894621247062439E-2</v>
      </c>
      <c r="K211" s="216">
        <f>INDEX($H$188:$K$193,MATCH($D211,$B$188:$B$193,0),0)*'Pricing Area Allocations'!K44</f>
        <v>0</v>
      </c>
    </row>
    <row r="212" spans="1:11" ht="12" customHeight="1">
      <c r="B212" s="70" t="str">
        <f t="shared" si="8"/>
        <v>Opex Incentive Amount</v>
      </c>
      <c r="C212" s="118" t="s">
        <v>186</v>
      </c>
      <c r="D212" s="215" t="str">
        <f>'Target Revenue'!E32</f>
        <v>Prior year distribution revenue</v>
      </c>
      <c r="E212" s="215" t="str">
        <f>'Target Revenue'!F32</f>
        <v>Passthrough</v>
      </c>
      <c r="F212" s="70" t="s">
        <v>206</v>
      </c>
      <c r="H212" s="216">
        <f ca="1">INDEX($H$188:$K$193,MATCH($D212,$B$188:$B$193,0),0)*'Pricing Area Allocations'!H45</f>
        <v>305.9135667251125</v>
      </c>
      <c r="I212" s="216">
        <f ca="1">INDEX($H$188:$K$193,MATCH($D212,$B$188:$B$193,0),0)*'Pricing Area Allocations'!I45</f>
        <v>238.3690173750704</v>
      </c>
      <c r="J212" s="216">
        <f ca="1">INDEX($H$188:$K$193,MATCH($D212,$B$188:$B$193,0),0)*'Pricing Area Allocations'!J45</f>
        <v>133.6446755610246</v>
      </c>
      <c r="K212" s="216">
        <f ca="1">INDEX($H$188:$K$193,MATCH($D212,$B$188:$B$193,0),0)*'Pricing Area Allocations'!K45</f>
        <v>0</v>
      </c>
    </row>
    <row r="213" spans="1:11" ht="12" customHeight="1">
      <c r="B213" s="70" t="str">
        <f t="shared" si="8"/>
        <v>Capex Incentive Amount</v>
      </c>
      <c r="C213" s="118" t="s">
        <v>186</v>
      </c>
      <c r="D213" s="215" t="str">
        <f>'Target Revenue'!E33</f>
        <v>Regulated Asset Base</v>
      </c>
      <c r="E213" s="215" t="str">
        <f>'Target Revenue'!F33</f>
        <v>Passthrough</v>
      </c>
      <c r="F213" s="70" t="s">
        <v>206</v>
      </c>
      <c r="H213" s="216">
        <f ca="1">INDEX($H$188:$K$193,MATCH($D213,$B$188:$B$193,0),0)*'Pricing Area Allocations'!H46</f>
        <v>-96.447486537614438</v>
      </c>
      <c r="I213" s="216">
        <f ca="1">INDEX($H$188:$K$193,MATCH($D213,$B$188:$B$193,0),0)*'Pricing Area Allocations'!I46</f>
        <v>-97.40819897280285</v>
      </c>
      <c r="J213" s="216">
        <f ca="1">INDEX($H$188:$K$193,MATCH($D213,$B$188:$B$193,0),0)*'Pricing Area Allocations'!J46</f>
        <v>-60.403379365507199</v>
      </c>
      <c r="K213" s="216">
        <f ca="1">INDEX($H$188:$K$193,MATCH($D213,$B$188:$B$193,0),0)*'Pricing Area Allocations'!K46</f>
        <v>0</v>
      </c>
    </row>
    <row r="214" spans="1:11" ht="12" customHeight="1">
      <c r="B214" s="70" t="str">
        <f t="shared" si="8"/>
        <v>Transpower  - connection costs</v>
      </c>
      <c r="C214" s="118" t="s">
        <v>186</v>
      </c>
      <c r="D214" s="215" t="str">
        <f>'Target Revenue'!E34</f>
        <v>CPD</v>
      </c>
      <c r="E214" s="215" t="str">
        <f>'Target Revenue'!F34</f>
        <v>Passthrough</v>
      </c>
      <c r="F214" s="70" t="s">
        <v>206</v>
      </c>
      <c r="H214" s="216">
        <f>INDEX($H$188:$K$193,MATCH($D214,$B$188:$B$193,0),0)*'Pricing Area Allocations'!H47</f>
        <v>238.04579392421502</v>
      </c>
      <c r="I214" s="216">
        <f>INDEX($H$188:$K$193,MATCH($D214,$B$188:$B$193,0),0)*'Pricing Area Allocations'!I47</f>
        <v>52.946653629880792</v>
      </c>
      <c r="J214" s="216">
        <f>INDEX($H$188:$K$193,MATCH($D214,$B$188:$B$193,0),0)*'Pricing Area Allocations'!J47</f>
        <v>117.1918800630451</v>
      </c>
      <c r="K214" s="216">
        <f>INDEX($H$188:$K$193,MATCH($D214,$B$188:$B$193,0),0)*'Pricing Area Allocations'!K47</f>
        <v>0</v>
      </c>
    </row>
    <row r="215" spans="1:11" ht="12" customHeight="1">
      <c r="B215" s="70" t="str">
        <f t="shared" si="8"/>
        <v>Transpower - interconnection costs</v>
      </c>
      <c r="C215" s="118" t="s">
        <v>186</v>
      </c>
      <c r="D215" s="215" t="str">
        <f>'Target Revenue'!E35</f>
        <v>CPD</v>
      </c>
      <c r="E215" s="215" t="str">
        <f>'Target Revenue'!F35</f>
        <v>Passthrough</v>
      </c>
      <c r="F215" s="70" t="s">
        <v>206</v>
      </c>
      <c r="H215" s="216">
        <f>INDEX($H$188:$K$193,MATCH($D215,$B$188:$B$193,0),0)*'Pricing Area Allocations'!H48</f>
        <v>976.82384332003903</v>
      </c>
      <c r="I215" s="216">
        <f>INDEX($H$188:$K$193,MATCH($D215,$B$188:$B$193,0),0)*'Pricing Area Allocations'!I48</f>
        <v>217.26724441155491</v>
      </c>
      <c r="J215" s="216">
        <f>INDEX($H$188:$K$193,MATCH($D215,$B$188:$B$193,0),0)*'Pricing Area Allocations'!J48</f>
        <v>480.89832129329557</v>
      </c>
      <c r="K215" s="216">
        <f>INDEX($H$188:$K$193,MATCH($D215,$B$188:$B$193,0),0)*'Pricing Area Allocations'!K48</f>
        <v>0</v>
      </c>
    </row>
    <row r="216" spans="1:11" ht="12" customHeight="1">
      <c r="B216" s="70" t="str">
        <f t="shared" si="8"/>
        <v>Transpower - new investment contract</v>
      </c>
      <c r="C216" s="118" t="s">
        <v>186</v>
      </c>
      <c r="D216" s="215" t="str">
        <f>'Target Revenue'!E36</f>
        <v>CPD</v>
      </c>
      <c r="E216" s="215" t="str">
        <f>'Target Revenue'!F36</f>
        <v>Passthrough</v>
      </c>
      <c r="F216" s="70" t="s">
        <v>206</v>
      </c>
      <c r="H216" s="216">
        <f>INDEX($H$188:$K$193,MATCH($D216,$B$188:$B$193,0),0)*'Pricing Area Allocations'!H49</f>
        <v>4.1953350083900078</v>
      </c>
      <c r="I216" s="216">
        <f>INDEX($H$188:$K$193,MATCH($D216,$B$188:$B$193,0),0)*'Pricing Area Allocations'!I49</f>
        <v>35.82310494723523</v>
      </c>
      <c r="J216" s="216">
        <f>INDEX($H$188:$K$193,MATCH($D216,$B$188:$B$193,0),0)*'Pricing Area Allocations'!J49</f>
        <v>0</v>
      </c>
      <c r="K216" s="216">
        <f>INDEX($H$188:$K$193,MATCH($D216,$B$188:$B$193,0),0)*'Pricing Area Allocations'!K49</f>
        <v>0</v>
      </c>
    </row>
    <row r="217" spans="1:11" ht="12" customHeight="1">
      <c r="A217" s="180" t="str">
        <f t="shared" si="7"/>
        <v>Load group Streetlighting</v>
      </c>
      <c r="B217" s="70" t="str">
        <f t="shared" si="8"/>
        <v>Distributed Generation Allowance</v>
      </c>
      <c r="C217" s="118" t="s">
        <v>186</v>
      </c>
      <c r="D217" s="215" t="str">
        <f>'Target Revenue'!E37</f>
        <v>CPD</v>
      </c>
      <c r="E217" s="215" t="str">
        <f>'Target Revenue'!F37</f>
        <v>Passthrough</v>
      </c>
      <c r="F217" s="70" t="s">
        <v>206</v>
      </c>
      <c r="H217" s="216">
        <f>INDEX($H$188:$K$193,MATCH($D217,$B$188:$B$193,0),0)*'Pricing Area Allocations'!H50</f>
        <v>415.20236947086698</v>
      </c>
      <c r="I217" s="216">
        <f>INDEX($H$188:$K$193,MATCH($D217,$B$188:$B$193,0),0)*'Pricing Area Allocations'!I50</f>
        <v>23.365940416600754</v>
      </c>
      <c r="J217" s="216">
        <f>INDEX($H$188:$K$193,MATCH($D217,$B$188:$B$193,0),0)*'Pricing Area Allocations'!J50</f>
        <v>16.39409118574806</v>
      </c>
      <c r="K217" s="216">
        <f>INDEX($H$188:$K$193,MATCH($D217,$B$188:$B$193,0),0)*'Pricing Area Allocations'!K50</f>
        <v>0</v>
      </c>
    </row>
    <row r="218" spans="1:11" ht="12" customHeight="1">
      <c r="A218" s="180" t="str">
        <f t="shared" si="7"/>
        <v>Load group Streetlighting</v>
      </c>
      <c r="B218" s="70" t="str">
        <f t="shared" si="8"/>
        <v>CPP recoverable costs</v>
      </c>
      <c r="C218" s="118" t="s">
        <v>186</v>
      </c>
      <c r="D218" s="215" t="str">
        <f>'Target Revenue'!E38</f>
        <v>ICP Count</v>
      </c>
      <c r="E218" s="215" t="str">
        <f>'Target Revenue'!F38</f>
        <v>Passthrough</v>
      </c>
      <c r="F218" s="70" t="s">
        <v>206</v>
      </c>
      <c r="H218" s="216">
        <f ca="1">INDEX($H$188:$K$193,MATCH($D218,$B$188:$B$193,0),0)*'Pricing Area Allocations'!H51</f>
        <v>0</v>
      </c>
      <c r="I218" s="216">
        <f ca="1">INDEX($H$188:$K$193,MATCH($D218,$B$188:$B$193,0),0)*'Pricing Area Allocations'!I51</f>
        <v>0</v>
      </c>
      <c r="J218" s="216">
        <f ca="1">INDEX($H$188:$K$193,MATCH($D218,$B$188:$B$193,0),0)*'Pricing Area Allocations'!J51</f>
        <v>0</v>
      </c>
      <c r="K218" s="216">
        <f ca="1">INDEX($H$188:$K$193,MATCH($D218,$B$188:$B$193,0),0)*'Pricing Area Allocations'!K51</f>
        <v>0</v>
      </c>
    </row>
    <row r="219" spans="1:11" ht="12" customHeight="1">
      <c r="A219" s="180" t="str">
        <f t="shared" si="7"/>
        <v>Load group Streetlighting</v>
      </c>
      <c r="B219" s="70" t="str">
        <f t="shared" si="8"/>
        <v>Quality Incentive Adjustments</v>
      </c>
      <c r="C219" s="118" t="s">
        <v>186</v>
      </c>
      <c r="D219" s="215" t="str">
        <f>'Target Revenue'!E39</f>
        <v>ICP Count</v>
      </c>
      <c r="E219" s="215" t="str">
        <f>'Target Revenue'!F39</f>
        <v>Passthrough</v>
      </c>
      <c r="F219" s="70" t="s">
        <v>206</v>
      </c>
      <c r="H219" s="216">
        <f ca="1">INDEX($H$188:$K$193,MATCH($D219,$B$188:$B$193,0),0)*'Pricing Area Allocations'!H52</f>
        <v>-7.955192005446126E-3</v>
      </c>
      <c r="I219" s="216">
        <f ca="1">INDEX($H$188:$K$193,MATCH($D219,$B$188:$B$193,0),0)*'Pricing Area Allocations'!I52</f>
        <v>-4.0850985973912542E-3</v>
      </c>
      <c r="J219" s="216">
        <f ca="1">INDEX($H$188:$K$193,MATCH($D219,$B$188:$B$193,0),0)*'Pricing Area Allocations'!J52</f>
        <v>-2.7950674613729637E-3</v>
      </c>
      <c r="K219" s="216">
        <f ca="1">INDEX($H$188:$K$193,MATCH($D219,$B$188:$B$193,0),0)*'Pricing Area Allocations'!K52</f>
        <v>0</v>
      </c>
    </row>
    <row r="220" spans="1:11" ht="12" customHeight="1">
      <c r="A220" s="180" t="str">
        <f t="shared" si="7"/>
        <v>Load group Streetlighting</v>
      </c>
      <c r="B220" s="70" t="str">
        <f t="shared" si="8"/>
        <v>Capex Wash-up Adjustment</v>
      </c>
      <c r="C220" s="118" t="s">
        <v>186</v>
      </c>
      <c r="D220" s="215" t="str">
        <f>'Target Revenue'!E40</f>
        <v>Regulated Asset Base</v>
      </c>
      <c r="E220" s="215" t="str">
        <f>'Target Revenue'!F40</f>
        <v>Passthrough</v>
      </c>
      <c r="F220" s="70" t="s">
        <v>206</v>
      </c>
      <c r="H220" s="216">
        <f ca="1">INDEX($H$188:$K$193,MATCH($D220,$B$188:$B$193,0),0)*'Pricing Area Allocations'!H53</f>
        <v>-50.710925143903935</v>
      </c>
      <c r="I220" s="216">
        <f ca="1">INDEX($H$188:$K$193,MATCH($D220,$B$188:$B$193,0),0)*'Pricing Area Allocations'!I53</f>
        <v>-51.216056154929895</v>
      </c>
      <c r="J220" s="216">
        <f ca="1">INDEX($H$188:$K$193,MATCH($D220,$B$188:$B$193,0),0)*'Pricing Area Allocations'!J53</f>
        <v>-31.759368329919688</v>
      </c>
      <c r="K220" s="216">
        <f ca="1">INDEX($H$188:$K$193,MATCH($D220,$B$188:$B$193,0),0)*'Pricing Area Allocations'!K53</f>
        <v>0</v>
      </c>
    </row>
    <row r="221" spans="1:11" ht="12" customHeight="1">
      <c r="A221" s="180" t="str">
        <f t="shared" si="7"/>
        <v>Load group Streetlighting</v>
      </c>
      <c r="B221" s="70" t="str">
        <f t="shared" si="8"/>
        <v>Fire and Emergency Management New Zealand (FENZ) levies</v>
      </c>
      <c r="C221" s="118" t="s">
        <v>186</v>
      </c>
      <c r="D221" s="215" t="str">
        <f>'Target Revenue'!E41</f>
        <v>Regulated Asset Base</v>
      </c>
      <c r="E221" s="215" t="str">
        <f>'Target Revenue'!F41</f>
        <v>Passthrough</v>
      </c>
      <c r="F221" s="70" t="s">
        <v>206</v>
      </c>
      <c r="H221" s="216">
        <f>INDEX($H$188:$K$193,MATCH($D221,$B$188:$B$193,0),0)*'Pricing Area Allocations'!H54</f>
        <v>2.7595383638112954</v>
      </c>
      <c r="I221" s="216">
        <f>INDEX($H$188:$K$193,MATCH($D221,$B$188:$B$193,0),0)*'Pricing Area Allocations'!I54</f>
        <v>2.7870260974647696</v>
      </c>
      <c r="J221" s="216">
        <f>INDEX($H$188:$K$193,MATCH($D221,$B$188:$B$193,0),0)*'Pricing Area Allocations'!J54</f>
        <v>1.7282507678202428</v>
      </c>
      <c r="K221" s="216">
        <f>INDEX($H$188:$K$193,MATCH($D221,$B$188:$B$193,0),0)*'Pricing Area Allocations'!K54</f>
        <v>0</v>
      </c>
    </row>
    <row r="222" spans="1:11" ht="12" customHeight="1">
      <c r="A222" s="217"/>
      <c r="B222" s="218" t="s">
        <v>7</v>
      </c>
      <c r="C222" s="163"/>
      <c r="D222" s="88"/>
      <c r="E222" s="88"/>
      <c r="F222" s="88"/>
      <c r="G222" s="88"/>
      <c r="H222" s="219">
        <f ca="1">SUM(H197:H221)</f>
        <v>5592.4866074340334</v>
      </c>
      <c r="I222" s="220">
        <f ca="1">SUM(I197:I221)</f>
        <v>4219.1546092090803</v>
      </c>
      <c r="J222" s="220">
        <f ca="1">SUM(J197:J221)</f>
        <v>2926.2913019744569</v>
      </c>
      <c r="K222" s="220">
        <f ca="1">SUM(K197:K221)</f>
        <v>0</v>
      </c>
    </row>
    <row r="223" spans="1:11" ht="12" customHeight="1">
      <c r="A223" s="217"/>
      <c r="B223" s="218"/>
      <c r="C223" s="163"/>
      <c r="D223" s="88"/>
      <c r="E223" s="88"/>
      <c r="F223" s="88"/>
      <c r="G223" s="88"/>
      <c r="H223" s="219"/>
      <c r="I223" s="220"/>
      <c r="J223" s="220"/>
      <c r="K223" s="220"/>
    </row>
    <row r="224" spans="1:11" ht="12" customHeight="1">
      <c r="A224" s="217"/>
      <c r="B224" s="218"/>
      <c r="C224" s="163"/>
      <c r="D224" s="221"/>
      <c r="E224" s="88" t="str">
        <f>'Name labels'!$B$62</f>
        <v>Distribution</v>
      </c>
      <c r="F224" s="88"/>
      <c r="G224" s="88"/>
      <c r="H224" s="219">
        <f ca="1">SUMIF($E197:H221,$E224,H197:H221)</f>
        <v>3669.3621867976844</v>
      </c>
      <c r="I224" s="219">
        <f ca="1">SUMIF($E197:I221,$E224,I197:I221)</f>
        <v>3680.4375833671029</v>
      </c>
      <c r="J224" s="219">
        <f ca="1">SUMIF($E197:J221,$E224,J197:J221)</f>
        <v>2193.3892372040746</v>
      </c>
      <c r="K224" s="219">
        <f ca="1">SUMIF($E197:K221,$E224,K197:K221)</f>
        <v>0</v>
      </c>
    </row>
    <row r="225" spans="1:14" ht="12" customHeight="1">
      <c r="A225" s="217"/>
      <c r="B225" s="218"/>
      <c r="C225" s="163"/>
      <c r="D225" s="88"/>
      <c r="E225" s="88" t="str">
        <f>'Name labels'!$B$63</f>
        <v>Passthrough</v>
      </c>
      <c r="F225" s="88"/>
      <c r="G225" s="88"/>
      <c r="H225" s="219">
        <f ca="1">SUMIF($E197:H221,$E225,H197:H221)</f>
        <v>1923.1244206363499</v>
      </c>
      <c r="I225" s="219">
        <f ca="1">SUMIF($E197:I221,$E225,I197:I221)</f>
        <v>538.71702584197692</v>
      </c>
      <c r="J225" s="219">
        <f ca="1">SUMIF($E197:J221,$E225,J197:J221)</f>
        <v>732.90206477038225</v>
      </c>
      <c r="K225" s="219">
        <f ca="1">SUMIF($E197:K221,$E225,K197:K221)</f>
        <v>0</v>
      </c>
    </row>
    <row r="226" spans="1:14" ht="12" customHeight="1">
      <c r="A226" s="217"/>
      <c r="B226" s="81"/>
      <c r="C226" s="163"/>
      <c r="D226" s="88"/>
      <c r="E226" s="88"/>
      <c r="F226" s="88"/>
      <c r="G226" s="88"/>
    </row>
    <row r="227" spans="1:14" ht="22.5">
      <c r="A227" s="211"/>
      <c r="B227" s="212" t="str">
        <f>'Name labels'!C$15</f>
        <v>Load group 5</v>
      </c>
      <c r="C227" s="209" t="s">
        <v>178</v>
      </c>
      <c r="D227" s="210" t="s">
        <v>205</v>
      </c>
      <c r="E227" s="213" t="s">
        <v>98</v>
      </c>
      <c r="F227" s="214"/>
      <c r="G227" s="214"/>
      <c r="H227" s="214"/>
      <c r="I227" s="214"/>
      <c r="J227" s="214"/>
      <c r="K227" s="214"/>
    </row>
    <row r="228" spans="1:14" ht="12" customHeight="1">
      <c r="H228" s="214"/>
    </row>
    <row r="229" spans="1:14" s="222" customFormat="1" ht="25.5" customHeight="1">
      <c r="A229" s="180"/>
      <c r="B229" s="161" t="s">
        <v>207</v>
      </c>
      <c r="C229" s="118"/>
      <c r="D229" s="70"/>
      <c r="E229" s="70"/>
      <c r="F229" s="70"/>
      <c r="G229" s="70"/>
      <c r="H229" s="70"/>
      <c r="I229" s="70"/>
      <c r="J229" s="70"/>
      <c r="K229" s="70"/>
      <c r="L229" s="70"/>
      <c r="M229" s="70"/>
      <c r="N229" s="70"/>
    </row>
    <row r="231" spans="1:14" ht="12" customHeight="1">
      <c r="B231" s="70" t="str">
        <f>'Name labels'!C$47</f>
        <v>ICP Count</v>
      </c>
      <c r="C231" s="198" t="s">
        <v>6</v>
      </c>
      <c r="H231" s="82">
        <f>'Allocator Data'!I$31</f>
        <v>1.258313859428366E-4</v>
      </c>
      <c r="I231" s="82">
        <f>'Allocator Data'!J$31</f>
        <v>4.6827440880355889E-5</v>
      </c>
      <c r="J231" s="82">
        <f>'Allocator Data'!K$31</f>
        <v>1.4347202295552367E-4</v>
      </c>
      <c r="K231" s="82">
        <f>'Allocator Data'!L$31</f>
        <v>0</v>
      </c>
    </row>
    <row r="232" spans="1:14" ht="12" customHeight="1">
      <c r="B232" s="70" t="str">
        <f>'Name labels'!C$48</f>
        <v>CPD</v>
      </c>
      <c r="C232" s="198" t="s">
        <v>6</v>
      </c>
      <c r="H232" s="82">
        <f>'Allocator Data'!I$71</f>
        <v>3.6957329535581875E-2</v>
      </c>
      <c r="I232" s="82">
        <f>'Allocator Data'!J$71</f>
        <v>1.5671288342418723E-3</v>
      </c>
      <c r="J232" s="82">
        <f>'Allocator Data'!K$71</f>
        <v>8.7579624338965864E-3</v>
      </c>
      <c r="K232" s="82">
        <f>'Allocator Data'!L$71</f>
        <v>0</v>
      </c>
    </row>
    <row r="233" spans="1:14" ht="12" customHeight="1">
      <c r="B233" s="70" t="str">
        <f>'Name labels'!C$49</f>
        <v>Prior year distribution revenue</v>
      </c>
      <c r="C233" s="198" t="s">
        <v>6</v>
      </c>
      <c r="H233" s="82">
        <f>'Allocator Data'!I$119</f>
        <v>1.5584417760850507E-2</v>
      </c>
      <c r="I233" s="82">
        <f>'Allocator Data'!J$119</f>
        <v>5.3009819963789669E-3</v>
      </c>
      <c r="J233" s="82">
        <f>'Allocator Data'!K$119</f>
        <v>2.6889345192385333E-3</v>
      </c>
      <c r="K233" s="82">
        <f>'Allocator Data'!L$119</f>
        <v>0</v>
      </c>
    </row>
    <row r="234" spans="1:14" ht="12" customHeight="1">
      <c r="B234" s="70" t="str">
        <f>'Name labels'!C$50</f>
        <v>MWh</v>
      </c>
      <c r="C234" s="198" t="s">
        <v>6</v>
      </c>
      <c r="H234" s="82">
        <f>'Allocator Data'!I$143</f>
        <v>5.9719719668625042E-2</v>
      </c>
      <c r="I234" s="82">
        <f>'Allocator Data'!J$143</f>
        <v>3.0245700331781283E-2</v>
      </c>
      <c r="J234" s="82">
        <f>'Allocator Data'!K$143</f>
        <v>3.6571026930402678E-2</v>
      </c>
      <c r="K234" s="82">
        <f>'Allocator Data'!L$143</f>
        <v>0</v>
      </c>
    </row>
    <row r="235" spans="1:14" ht="12" customHeight="1">
      <c r="B235" s="70" t="str">
        <f>'Name labels'!C$51</f>
        <v>Regulated Asset Base</v>
      </c>
      <c r="C235" s="198" t="s">
        <v>6</v>
      </c>
      <c r="H235" s="82">
        <f>'RAB Allocations'!I$32</f>
        <v>6.6024522011850231E-2</v>
      </c>
      <c r="I235" s="82">
        <f>'RAB Allocations'!J$32</f>
        <v>4.8915894704618544E-3</v>
      </c>
      <c r="J235" s="82">
        <f>'RAB Allocations'!K$32</f>
        <v>2.1566909276294254E-2</v>
      </c>
      <c r="K235" s="82">
        <f>'RAB Allocations'!L$32</f>
        <v>0</v>
      </c>
    </row>
    <row r="236" spans="1:14" ht="12" customHeight="1">
      <c r="B236" s="70" t="str">
        <f>'Name labels'!C$52</f>
        <v>Regulated Asset Base (Depreciation)</v>
      </c>
      <c r="C236" s="198"/>
      <c r="H236" s="82">
        <f>'RAB - Depreciation Allocations'!I$32</f>
        <v>6.7371739922156768E-2</v>
      </c>
      <c r="I236" s="82">
        <f>'RAB - Depreciation Allocations'!J$32</f>
        <v>5.2333706738999812E-3</v>
      </c>
      <c r="J236" s="82">
        <f>'RAB - Depreciation Allocations'!K$32</f>
        <v>2.1755302784189252E-2</v>
      </c>
      <c r="K236" s="82">
        <f>'RAB - Depreciation Allocations'!L$32</f>
        <v>0</v>
      </c>
    </row>
    <row r="238" spans="1:14" ht="12" customHeight="1">
      <c r="B238" s="161" t="str">
        <f>B227&amp;" Allocation"</f>
        <v>Load group 5 Allocation</v>
      </c>
    </row>
    <row r="239" spans="1:14" ht="12" customHeight="1">
      <c r="B239" s="88"/>
    </row>
    <row r="240" spans="1:14" ht="12" customHeight="1">
      <c r="A240" s="180" t="str">
        <f>$B$12</f>
        <v>Load group Streetlighting</v>
      </c>
      <c r="B240" s="70" t="str">
        <f>B197</f>
        <v>Service interruptions and emergencies</v>
      </c>
      <c r="C240" s="118" t="s">
        <v>186</v>
      </c>
      <c r="D240" s="215" t="str">
        <f>'Target Revenue'!E17</f>
        <v>CPD</v>
      </c>
      <c r="E240" s="215" t="str">
        <f>'Target Revenue'!F17</f>
        <v>Distribution</v>
      </c>
      <c r="F240" s="70" t="s">
        <v>206</v>
      </c>
      <c r="H240" s="216">
        <f ca="1">INDEX($H$231:$K$236,MATCH($D240,$B$231:$B$236,0),0)*'Pricing Area Allocations'!H30</f>
        <v>28.625768099068168</v>
      </c>
      <c r="I240" s="216">
        <f ca="1">INDEX($H$231:$K$236,MATCH($D240,$B$231:$B$236,0),0)*'Pricing Area Allocations'!I30</f>
        <v>1.4079112009560251</v>
      </c>
      <c r="J240" s="216">
        <f ca="1">INDEX($H$231:$K$236,MATCH($D240,$B$231:$B$236,0),0)*'Pricing Area Allocations'!J30</f>
        <v>2.8694333001679331</v>
      </c>
      <c r="K240" s="216">
        <f ca="1">INDEX($H$231:$K$236,MATCH($D240,$B$231:$B$236,0),0)*'Pricing Area Allocations'!K30</f>
        <v>0</v>
      </c>
    </row>
    <row r="241" spans="1:11" ht="12" customHeight="1">
      <c r="A241" s="180" t="str">
        <f t="shared" ref="A241:A264" si="9">$B$12</f>
        <v>Load group Streetlighting</v>
      </c>
      <c r="B241" s="70" t="str">
        <f t="shared" ref="B241:B264" si="10">B198</f>
        <v>Service interruptions and emergencies</v>
      </c>
      <c r="C241" s="118" t="s">
        <v>186</v>
      </c>
      <c r="D241" s="215" t="str">
        <f>'Target Revenue'!E18</f>
        <v>ICP Count</v>
      </c>
      <c r="E241" s="215" t="str">
        <f>'Target Revenue'!F18</f>
        <v>Distribution</v>
      </c>
      <c r="F241" s="70" t="s">
        <v>206</v>
      </c>
      <c r="H241" s="216">
        <f ca="1">INDEX($H$231:$K$236,MATCH($D241,$B$231:$B$236,0),0)*'Pricing Area Allocations'!H31</f>
        <v>0.15393755637164924</v>
      </c>
      <c r="I241" s="216">
        <f ca="1">INDEX($H$231:$K$236,MATCH($D241,$B$231:$B$236,0),0)*'Pricing Area Allocations'!I31</f>
        <v>2.1991079481664177E-2</v>
      </c>
      <c r="J241" s="216">
        <f ca="1">INDEX($H$231:$K$236,MATCH($D241,$B$231:$B$236,0),0)*'Pricing Area Allocations'!J31</f>
        <v>4.3982158963328355E-2</v>
      </c>
      <c r="K241" s="216">
        <f ca="1">INDEX($H$231:$K$236,MATCH($D241,$B$231:$B$236,0),0)*'Pricing Area Allocations'!K31</f>
        <v>0</v>
      </c>
    </row>
    <row r="242" spans="1:11" ht="12" customHeight="1">
      <c r="A242" s="180" t="str">
        <f t="shared" si="9"/>
        <v>Load group Streetlighting</v>
      </c>
      <c r="B242" s="70" t="str">
        <f t="shared" si="10"/>
        <v>Vegetation management</v>
      </c>
      <c r="C242" s="118" t="s">
        <v>186</v>
      </c>
      <c r="D242" s="215" t="str">
        <f>'Target Revenue'!E19</f>
        <v>CPD</v>
      </c>
      <c r="E242" s="215" t="str">
        <f>'Target Revenue'!F19</f>
        <v>Distribution</v>
      </c>
      <c r="F242" s="70" t="s">
        <v>206</v>
      </c>
      <c r="H242" s="216">
        <f ca="1">INDEX($H$231:$K$236,MATCH($D242,$B$231:$B$236,0),0)*'Pricing Area Allocations'!H32</f>
        <v>70.98499952458657</v>
      </c>
      <c r="I242" s="216">
        <f ca="1">INDEX($H$231:$K$236,MATCH($D242,$B$231:$B$236,0),0)*'Pricing Area Allocations'!I32</f>
        <v>3.1111916959503896</v>
      </c>
      <c r="J242" s="216">
        <f ca="1">INDEX($H$231:$K$236,MATCH($D242,$B$231:$B$236,0),0)*'Pricing Area Allocations'!J32</f>
        <v>4.0963144086356236</v>
      </c>
      <c r="K242" s="216">
        <f ca="1">INDEX($H$231:$K$236,MATCH($D242,$B$231:$B$236,0),0)*'Pricing Area Allocations'!K32</f>
        <v>0</v>
      </c>
    </row>
    <row r="243" spans="1:11" ht="12" customHeight="1">
      <c r="B243" s="70" t="str">
        <f t="shared" si="10"/>
        <v>Routine and corrective maintenance and inspection</v>
      </c>
      <c r="C243" s="118" t="s">
        <v>186</v>
      </c>
      <c r="D243" s="215" t="str">
        <f>'Target Revenue'!E20</f>
        <v>CPD</v>
      </c>
      <c r="E243" s="215" t="str">
        <f>'Target Revenue'!F20</f>
        <v>Distribution</v>
      </c>
      <c r="F243" s="70" t="s">
        <v>206</v>
      </c>
      <c r="H243" s="216">
        <f ca="1">INDEX($H$231:$K$236,MATCH($D243,$B$231:$B$236,0),0)*'Pricing Area Allocations'!H33</f>
        <v>120.34855387217789</v>
      </c>
      <c r="I243" s="216">
        <f ca="1">INDEX($H$231:$K$236,MATCH($D243,$B$231:$B$236,0),0)*'Pricing Area Allocations'!I33</f>
        <v>5.9191451712002969</v>
      </c>
      <c r="J243" s="216">
        <f ca="1">INDEX($H$231:$K$236,MATCH($D243,$B$231:$B$236,0),0)*'Pricing Area Allocations'!J33</f>
        <v>12.06368146743713</v>
      </c>
      <c r="K243" s="216">
        <f ca="1">INDEX($H$231:$K$236,MATCH($D243,$B$231:$B$236,0),0)*'Pricing Area Allocations'!K33</f>
        <v>0</v>
      </c>
    </row>
    <row r="244" spans="1:11" ht="12" customHeight="1">
      <c r="B244" s="70" t="str">
        <f t="shared" si="10"/>
        <v>System operations and network support</v>
      </c>
      <c r="C244" s="118" t="s">
        <v>186</v>
      </c>
      <c r="D244" s="215" t="str">
        <f>'Target Revenue'!E21</f>
        <v>ICP Count</v>
      </c>
      <c r="E244" s="215" t="str">
        <f>'Target Revenue'!F21</f>
        <v>Distribution</v>
      </c>
      <c r="F244" s="70" t="s">
        <v>206</v>
      </c>
      <c r="H244" s="216">
        <f ca="1">INDEX($H$231:$K$236,MATCH($D244,$B$231:$B$236,0),0)*'Pricing Area Allocations'!H34</f>
        <v>1.0240822270992325</v>
      </c>
      <c r="I244" s="216">
        <f ca="1">INDEX($H$231:$K$236,MATCH($D244,$B$231:$B$236,0),0)*'Pricing Area Allocations'!I34</f>
        <v>0.14629746101417609</v>
      </c>
      <c r="J244" s="216">
        <f ca="1">INDEX($H$231:$K$236,MATCH($D244,$B$231:$B$236,0),0)*'Pricing Area Allocations'!J34</f>
        <v>0.29259492202835219</v>
      </c>
      <c r="K244" s="216">
        <f ca="1">INDEX($H$231:$K$236,MATCH($D244,$B$231:$B$236,0),0)*'Pricing Area Allocations'!K34</f>
        <v>0</v>
      </c>
    </row>
    <row r="245" spans="1:11" ht="12" customHeight="1">
      <c r="B245" s="70" t="str">
        <f t="shared" si="10"/>
        <v>Business support</v>
      </c>
      <c r="C245" s="118" t="s">
        <v>186</v>
      </c>
      <c r="D245" s="215" t="str">
        <f>'Target Revenue'!E22</f>
        <v>ICP Count</v>
      </c>
      <c r="E245" s="215" t="str">
        <f>'Target Revenue'!F22</f>
        <v>Distribution</v>
      </c>
      <c r="F245" s="70" t="s">
        <v>206</v>
      </c>
      <c r="H245" s="216">
        <f ca="1">INDEX($H$231:$K$236,MATCH($D245,$B$231:$B$236,0),0)*'Pricing Area Allocations'!H35</f>
        <v>1.0171435669816049</v>
      </c>
      <c r="I245" s="216">
        <f ca="1">INDEX($H$231:$K$236,MATCH($D245,$B$231:$B$236,0),0)*'Pricing Area Allocations'!I35</f>
        <v>0.14530622385451497</v>
      </c>
      <c r="J245" s="216">
        <f ca="1">INDEX($H$231:$K$236,MATCH($D245,$B$231:$B$236,0),0)*'Pricing Area Allocations'!J35</f>
        <v>0.29061244770902994</v>
      </c>
      <c r="K245" s="216">
        <f ca="1">INDEX($H$231:$K$236,MATCH($D245,$B$231:$B$236,0),0)*'Pricing Area Allocations'!K35</f>
        <v>0</v>
      </c>
    </row>
    <row r="246" spans="1:11" ht="12" customHeight="1">
      <c r="B246" s="70" t="str">
        <f t="shared" si="10"/>
        <v>Depreciation</v>
      </c>
      <c r="C246" s="118" t="s">
        <v>186</v>
      </c>
      <c r="D246" s="215" t="str">
        <f>'Target Revenue'!E23</f>
        <v>Regulated Asset Base (Depreciation)</v>
      </c>
      <c r="E246" s="215" t="str">
        <f>'Target Revenue'!F23</f>
        <v>Distribution</v>
      </c>
      <c r="F246" s="70" t="s">
        <v>206</v>
      </c>
      <c r="H246" s="216">
        <f ca="1">INDEX($H$231:$K$236,MATCH($D246,$B$231:$B$236,0),0)*'Pricing Area Allocations'!H36</f>
        <v>528.93431399227552</v>
      </c>
      <c r="I246" s="216">
        <f ca="1">INDEX($H$231:$K$236,MATCH($D246,$B$231:$B$236,0),0)*'Pricing Area Allocations'!I36</f>
        <v>28.691478570841259</v>
      </c>
      <c r="J246" s="216">
        <f ca="1">INDEX($H$231:$K$236,MATCH($D246,$B$231:$B$236,0),0)*'Pricing Area Allocations'!J36</f>
        <v>75.079339906453825</v>
      </c>
      <c r="K246" s="216">
        <f ca="1">INDEX($H$231:$K$236,MATCH($D246,$B$231:$B$236,0),0)*'Pricing Area Allocations'!K36</f>
        <v>0</v>
      </c>
    </row>
    <row r="247" spans="1:11" ht="12" customHeight="1">
      <c r="B247" s="70" t="str">
        <f t="shared" si="10"/>
        <v>Asset revaluations and other regulatory revenue</v>
      </c>
      <c r="C247" s="118" t="s">
        <v>186</v>
      </c>
      <c r="D247" s="215" t="str">
        <f>'Target Revenue'!E24</f>
        <v>Regulated Asset Base</v>
      </c>
      <c r="E247" s="215" t="str">
        <f>'Target Revenue'!F24</f>
        <v>Distribution</v>
      </c>
      <c r="F247" s="70" t="s">
        <v>206</v>
      </c>
      <c r="H247" s="216">
        <f ca="1">INDEX($H$231:$K$236,MATCH($D247,$B$231:$B$236,0),0)*'Pricing Area Allocations'!H37</f>
        <v>-322.03843571072917</v>
      </c>
      <c r="I247" s="216">
        <f ca="1">INDEX($H$231:$K$236,MATCH($D247,$B$231:$B$236,0),0)*'Pricing Area Allocations'!I37</f>
        <v>-16.951268167502327</v>
      </c>
      <c r="J247" s="216">
        <f ca="1">INDEX($H$231:$K$236,MATCH($D247,$B$231:$B$236,0),0)*'Pricing Area Allocations'!J37</f>
        <v>-44.159769108684813</v>
      </c>
      <c r="K247" s="216">
        <f ca="1">INDEX($H$231:$K$236,MATCH($D247,$B$231:$B$236,0),0)*'Pricing Area Allocations'!K37</f>
        <v>0</v>
      </c>
    </row>
    <row r="248" spans="1:11" ht="12" customHeight="1">
      <c r="B248" s="70" t="str">
        <f t="shared" si="10"/>
        <v>Tax</v>
      </c>
      <c r="C248" s="118" t="s">
        <v>186</v>
      </c>
      <c r="D248" s="215" t="str">
        <f>'Target Revenue'!E25</f>
        <v>Regulated Asset Base</v>
      </c>
      <c r="E248" s="215" t="str">
        <f>'Target Revenue'!F25</f>
        <v>Distribution</v>
      </c>
      <c r="F248" s="70" t="s">
        <v>206</v>
      </c>
      <c r="H248" s="216">
        <f ca="1">INDEX($H$231:$K$236,MATCH($D248,$B$231:$B$236,0),0)*'Pricing Area Allocations'!H38</f>
        <v>146.40155979730531</v>
      </c>
      <c r="I248" s="216">
        <f ca="1">INDEX($H$231:$K$236,MATCH($D248,$B$231:$B$236,0),0)*'Pricing Area Allocations'!I38</f>
        <v>7.7061984690980445</v>
      </c>
      <c r="J248" s="216">
        <f ca="1">INDEX($H$231:$K$236,MATCH($D248,$B$231:$B$236,0),0)*'Pricing Area Allocations'!J38</f>
        <v>20.075426908381679</v>
      </c>
      <c r="K248" s="216">
        <f ca="1">INDEX($H$231:$K$236,MATCH($D248,$B$231:$B$236,0),0)*'Pricing Area Allocations'!K38</f>
        <v>0</v>
      </c>
    </row>
    <row r="249" spans="1:11" ht="12" customHeight="1">
      <c r="B249" s="70" t="str">
        <f t="shared" si="10"/>
        <v>Return on capital</v>
      </c>
      <c r="C249" s="118" t="s">
        <v>186</v>
      </c>
      <c r="D249" s="215" t="str">
        <f>'Target Revenue'!E26</f>
        <v>Regulated Asset Base</v>
      </c>
      <c r="E249" s="215" t="str">
        <f>'Target Revenue'!F26</f>
        <v>Distribution</v>
      </c>
      <c r="F249" s="70" t="s">
        <v>206</v>
      </c>
      <c r="H249" s="216">
        <f ca="1">INDEX($H$231:$K$236,MATCH($D249,$B$231:$B$236,0),0)*'Pricing Area Allocations'!H39</f>
        <v>881.08630482513865</v>
      </c>
      <c r="I249" s="216">
        <f ca="1">INDEX($H$231:$K$236,MATCH($D249,$B$231:$B$236,0),0)*'Pricing Area Allocations'!I39</f>
        <v>46.378098312527079</v>
      </c>
      <c r="J249" s="216">
        <f ca="1">INDEX($H$231:$K$236,MATCH($D249,$B$231:$B$236,0),0)*'Pricing Area Allocations'!J39</f>
        <v>120.81963974279148</v>
      </c>
      <c r="K249" s="216">
        <f ca="1">INDEX($H$231:$K$236,MATCH($D249,$B$231:$B$236,0),0)*'Pricing Area Allocations'!K39</f>
        <v>0</v>
      </c>
    </row>
    <row r="250" spans="1:11" ht="12" customHeight="1">
      <c r="B250" s="70" t="str">
        <f t="shared" si="10"/>
        <v>Local Authority rates</v>
      </c>
      <c r="C250" s="118" t="s">
        <v>186</v>
      </c>
      <c r="D250" s="215" t="str">
        <f>'Target Revenue'!E27</f>
        <v>Regulated Asset Base</v>
      </c>
      <c r="E250" s="215" t="str">
        <f>'Target Revenue'!F27</f>
        <v>Passthrough</v>
      </c>
      <c r="F250" s="70" t="s">
        <v>206</v>
      </c>
      <c r="H250" s="216">
        <f>INDEX($H$231:$K$236,MATCH($D250,$B$231:$B$236,0),0)*'Pricing Area Allocations'!H40</f>
        <v>35.14881238062096</v>
      </c>
      <c r="I250" s="216">
        <f>INDEX($H$231:$K$236,MATCH($D250,$B$231:$B$236,0),0)*'Pricing Area Allocations'!I40</f>
        <v>1.8501423381907245</v>
      </c>
      <c r="J250" s="216">
        <f>INDEX($H$231:$K$236,MATCH($D250,$B$231:$B$236,0),0)*'Pricing Area Allocations'!J40</f>
        <v>4.819808032377022</v>
      </c>
      <c r="K250" s="216">
        <f>INDEX($H$231:$K$236,MATCH($D250,$B$231:$B$236,0),0)*'Pricing Area Allocations'!K40</f>
        <v>0</v>
      </c>
    </row>
    <row r="251" spans="1:11" ht="12" customHeight="1">
      <c r="B251" s="70" t="str">
        <f t="shared" si="10"/>
        <v>Commerce Act levies</v>
      </c>
      <c r="C251" s="118" t="s">
        <v>186</v>
      </c>
      <c r="D251" s="215" t="str">
        <f>'Target Revenue'!E28</f>
        <v>Regulated Asset Base</v>
      </c>
      <c r="E251" s="215" t="str">
        <f>'Target Revenue'!F28</f>
        <v>Passthrough</v>
      </c>
      <c r="F251" s="70" t="s">
        <v>206</v>
      </c>
      <c r="H251" s="216">
        <f>INDEX($H$231:$K$236,MATCH($D251,$B$231:$B$236,0),0)*'Pricing Area Allocations'!H41</f>
        <v>8.8079034937784826</v>
      </c>
      <c r="I251" s="216">
        <f>INDEX($H$231:$K$236,MATCH($D251,$B$231:$B$236,0),0)*'Pricing Area Allocations'!I41</f>
        <v>0.46362519985233369</v>
      </c>
      <c r="J251" s="216">
        <f>INDEX($H$231:$K$236,MATCH($D251,$B$231:$B$236,0),0)*'Pricing Area Allocations'!J41</f>
        <v>1.2077905662360584</v>
      </c>
      <c r="K251" s="216">
        <f>INDEX($H$231:$K$236,MATCH($D251,$B$231:$B$236,0),0)*'Pricing Area Allocations'!K41</f>
        <v>0</v>
      </c>
    </row>
    <row r="252" spans="1:11" ht="12" customHeight="1">
      <c r="B252" s="70" t="str">
        <f t="shared" si="10"/>
        <v>Electricity Authority levies</v>
      </c>
      <c r="C252" s="118" t="s">
        <v>186</v>
      </c>
      <c r="D252" s="215" t="str">
        <f>'Target Revenue'!E29</f>
        <v>MWh</v>
      </c>
      <c r="E252" s="215" t="str">
        <f>'Target Revenue'!F29</f>
        <v>Passthrough</v>
      </c>
      <c r="F252" s="70" t="s">
        <v>206</v>
      </c>
      <c r="H252" s="216">
        <f>INDEX($H$231:$K$236,MATCH($D252,$B$231:$B$236,0),0)*'Pricing Area Allocations'!H42</f>
        <v>8.1725395157693335</v>
      </c>
      <c r="I252" s="216">
        <f>INDEX($H$231:$K$236,MATCH($D252,$B$231:$B$236,0),0)*'Pricing Area Allocations'!I42</f>
        <v>1.5075863509826419</v>
      </c>
      <c r="J252" s="216">
        <f>INDEX($H$231:$K$236,MATCH($D252,$B$231:$B$236,0),0)*'Pricing Area Allocations'!J42</f>
        <v>1.4719616995751985</v>
      </c>
      <c r="K252" s="216">
        <f>INDEX($H$231:$K$236,MATCH($D252,$B$231:$B$236,0),0)*'Pricing Area Allocations'!K42</f>
        <v>0</v>
      </c>
    </row>
    <row r="253" spans="1:11" ht="12" customHeight="1">
      <c r="B253" s="70" t="str">
        <f t="shared" si="10"/>
        <v>Electricity Authority levies</v>
      </c>
      <c r="C253" s="118" t="s">
        <v>186</v>
      </c>
      <c r="D253" s="215" t="str">
        <f>'Target Revenue'!E30</f>
        <v>ICP Count</v>
      </c>
      <c r="E253" s="215" t="str">
        <f>'Target Revenue'!F30</f>
        <v>Passthrough</v>
      </c>
      <c r="F253" s="70" t="s">
        <v>206</v>
      </c>
      <c r="H253" s="216">
        <f>INDEX($H$231:$K$236,MATCH($D253,$B$231:$B$236,0),0)*'Pricing Area Allocations'!H43</f>
        <v>4.3640420812193883E-3</v>
      </c>
      <c r="I253" s="216">
        <f>INDEX($H$231:$K$236,MATCH($D253,$B$231:$B$236,0),0)*'Pricing Area Allocations'!I43</f>
        <v>6.2343458303134116E-4</v>
      </c>
      <c r="J253" s="216">
        <f>INDEX($H$231:$K$236,MATCH($D253,$B$231:$B$236,0),0)*'Pricing Area Allocations'!J43</f>
        <v>1.2468691660626825E-3</v>
      </c>
      <c r="K253" s="216">
        <f>INDEX($H$231:$K$236,MATCH($D253,$B$231:$B$236,0),0)*'Pricing Area Allocations'!K43</f>
        <v>0</v>
      </c>
    </row>
    <row r="254" spans="1:11" ht="12" customHeight="1">
      <c r="B254" s="70" t="str">
        <f t="shared" si="10"/>
        <v>Utilities Disputes levies</v>
      </c>
      <c r="C254" s="118" t="s">
        <v>186</v>
      </c>
      <c r="D254" s="215" t="str">
        <f>'Target Revenue'!E31</f>
        <v>ICP Count</v>
      </c>
      <c r="E254" s="215" t="str">
        <f>'Target Revenue'!F31</f>
        <v>Passthrough</v>
      </c>
      <c r="F254" s="70" t="s">
        <v>206</v>
      </c>
      <c r="H254" s="216">
        <f>INDEX($H$231:$K$236,MATCH($D254,$B$231:$B$236,0),0)*'Pricing Area Allocations'!H44</f>
        <v>5.6254749511321957E-3</v>
      </c>
      <c r="I254" s="216">
        <f>INDEX($H$231:$K$236,MATCH($D254,$B$231:$B$236,0),0)*'Pricing Area Allocations'!I44</f>
        <v>8.0363927873317086E-4</v>
      </c>
      <c r="J254" s="216">
        <f>INDEX($H$231:$K$236,MATCH($D254,$B$231:$B$236,0),0)*'Pricing Area Allocations'!J44</f>
        <v>1.6072785574663415E-3</v>
      </c>
      <c r="K254" s="216">
        <f>INDEX($H$231:$K$236,MATCH($D254,$B$231:$B$236,0),0)*'Pricing Area Allocations'!K44</f>
        <v>0</v>
      </c>
    </row>
    <row r="255" spans="1:11" ht="12" customHeight="1">
      <c r="B255" s="70" t="str">
        <f t="shared" si="10"/>
        <v>Opex Incentive Amount</v>
      </c>
      <c r="C255" s="118" t="s">
        <v>186</v>
      </c>
      <c r="D255" s="215" t="str">
        <f>'Target Revenue'!E32</f>
        <v>Prior year distribution revenue</v>
      </c>
      <c r="E255" s="215" t="str">
        <f>'Target Revenue'!F32</f>
        <v>Passthrough</v>
      </c>
      <c r="F255" s="70" t="s">
        <v>206</v>
      </c>
      <c r="H255" s="216">
        <f ca="1">INDEX($H$231:$K$236,MATCH($D255,$B$231:$B$236,0),0)*'Pricing Area Allocations'!H45</f>
        <v>83.384869427494337</v>
      </c>
      <c r="I255" s="216">
        <f ca="1">INDEX($H$231:$K$236,MATCH($D255,$B$231:$B$236,0),0)*'Pricing Area Allocations'!I45</f>
        <v>19.327803906205776</v>
      </c>
      <c r="J255" s="216">
        <f ca="1">INDEX($H$231:$K$236,MATCH($D255,$B$231:$B$236,0),0)*'Pricing Area Allocations'!J45</f>
        <v>4.8626194408134946</v>
      </c>
      <c r="K255" s="216">
        <f ca="1">INDEX($H$231:$K$236,MATCH($D255,$B$231:$B$236,0),0)*'Pricing Area Allocations'!K45</f>
        <v>0</v>
      </c>
    </row>
    <row r="256" spans="1:11" ht="12" customHeight="1">
      <c r="B256" s="70" t="str">
        <f t="shared" si="10"/>
        <v>Capex Incentive Amount</v>
      </c>
      <c r="C256" s="118" t="s">
        <v>186</v>
      </c>
      <c r="D256" s="215" t="str">
        <f>'Target Revenue'!E33</f>
        <v>Regulated Asset Base</v>
      </c>
      <c r="E256" s="215" t="str">
        <f>'Target Revenue'!F33</f>
        <v>Passthrough</v>
      </c>
      <c r="F256" s="70" t="s">
        <v>206</v>
      </c>
      <c r="H256" s="216">
        <f ca="1">INDEX($H$231:$K$236,MATCH($D256,$B$231:$B$236,0),0)*'Pricing Area Allocations'!H46</f>
        <v>-38.470028825404128</v>
      </c>
      <c r="I256" s="216">
        <f ca="1">INDEX($H$231:$K$236,MATCH($D256,$B$231:$B$236,0),0)*'Pricing Area Allocations'!I46</f>
        <v>-2.0249625594900498</v>
      </c>
      <c r="J256" s="216">
        <f ca="1">INDEX($H$231:$K$236,MATCH($D256,$B$231:$B$236,0),0)*'Pricing Area Allocations'!J46</f>
        <v>-5.2752324013282266</v>
      </c>
      <c r="K256" s="216">
        <f ca="1">INDEX($H$231:$K$236,MATCH($D256,$B$231:$B$236,0),0)*'Pricing Area Allocations'!K46</f>
        <v>0</v>
      </c>
    </row>
    <row r="257" spans="1:11" ht="12" customHeight="1">
      <c r="B257" s="70" t="str">
        <f t="shared" si="10"/>
        <v>Transpower  - connection costs</v>
      </c>
      <c r="C257" s="118" t="s">
        <v>186</v>
      </c>
      <c r="D257" s="215" t="str">
        <f>'Target Revenue'!E34</f>
        <v>CPD</v>
      </c>
      <c r="E257" s="215" t="str">
        <f>'Target Revenue'!F34</f>
        <v>Passthrough</v>
      </c>
      <c r="F257" s="70" t="s">
        <v>206</v>
      </c>
      <c r="H257" s="216">
        <f>INDEX($H$231:$K$236,MATCH($D257,$B$231:$B$236,0),0)*'Pricing Area Allocations'!H47</f>
        <v>94.949374864831711</v>
      </c>
      <c r="I257" s="216">
        <f>INDEX($H$231:$K$236,MATCH($D257,$B$231:$B$236,0),0)*'Pricing Area Allocations'!I47</f>
        <v>1.1006772774921323</v>
      </c>
      <c r="J257" s="216">
        <f>INDEX($H$231:$K$236,MATCH($D257,$B$231:$B$236,0),0)*'Pricing Area Allocations'!J47</f>
        <v>10.23476516339039</v>
      </c>
      <c r="K257" s="216">
        <f>INDEX($H$231:$K$236,MATCH($D257,$B$231:$B$236,0),0)*'Pricing Area Allocations'!K47</f>
        <v>0</v>
      </c>
    </row>
    <row r="258" spans="1:11" ht="12" customHeight="1">
      <c r="B258" s="70" t="str">
        <f t="shared" si="10"/>
        <v>Transpower - interconnection costs</v>
      </c>
      <c r="C258" s="118" t="s">
        <v>186</v>
      </c>
      <c r="D258" s="215" t="str">
        <f>'Target Revenue'!E35</f>
        <v>CPD</v>
      </c>
      <c r="E258" s="215" t="str">
        <f>'Target Revenue'!F35</f>
        <v>Passthrough</v>
      </c>
      <c r="F258" s="70" t="s">
        <v>206</v>
      </c>
      <c r="H258" s="216">
        <f>INDEX($H$231:$K$236,MATCH($D258,$B$231:$B$236,0),0)*'Pricing Area Allocations'!H48</f>
        <v>389.62592763066345</v>
      </c>
      <c r="I258" s="216">
        <f>INDEX($H$231:$K$236,MATCH($D258,$B$231:$B$236,0),0)*'Pricing Area Allocations'!I48</f>
        <v>4.516642746467495</v>
      </c>
      <c r="J258" s="216">
        <f>INDEX($H$231:$K$236,MATCH($D258,$B$231:$B$236,0),0)*'Pricing Area Allocations'!J48</f>
        <v>41.998484735100604</v>
      </c>
      <c r="K258" s="216">
        <f>INDEX($H$231:$K$236,MATCH($D258,$B$231:$B$236,0),0)*'Pricing Area Allocations'!K48</f>
        <v>0</v>
      </c>
    </row>
    <row r="259" spans="1:11" ht="12" customHeight="1">
      <c r="B259" s="70" t="str">
        <f t="shared" si="10"/>
        <v>Transpower - new investment contract</v>
      </c>
      <c r="C259" s="118" t="s">
        <v>186</v>
      </c>
      <c r="D259" s="215" t="str">
        <f>'Target Revenue'!E36</f>
        <v>CPD</v>
      </c>
      <c r="E259" s="215" t="str">
        <f>'Target Revenue'!F36</f>
        <v>Passthrough</v>
      </c>
      <c r="F259" s="70" t="s">
        <v>206</v>
      </c>
      <c r="H259" s="216">
        <f>INDEX($H$231:$K$236,MATCH($D259,$B$231:$B$236,0),0)*'Pricing Area Allocations'!H49</f>
        <v>1.6733941391209497</v>
      </c>
      <c r="I259" s="216">
        <f>INDEX($H$231:$K$236,MATCH($D259,$B$231:$B$236,0),0)*'Pricing Area Allocations'!I49</f>
        <v>0.74470575421570007</v>
      </c>
      <c r="J259" s="216">
        <f>INDEX($H$231:$K$236,MATCH($D259,$B$231:$B$236,0),0)*'Pricing Area Allocations'!J49</f>
        <v>0</v>
      </c>
      <c r="K259" s="216">
        <f>INDEX($H$231:$K$236,MATCH($D259,$B$231:$B$236,0),0)*'Pricing Area Allocations'!K49</f>
        <v>0</v>
      </c>
    </row>
    <row r="260" spans="1:11" ht="12" customHeight="1">
      <c r="A260" s="180" t="str">
        <f t="shared" si="9"/>
        <v>Load group Streetlighting</v>
      </c>
      <c r="B260" s="70" t="str">
        <f t="shared" si="10"/>
        <v>Distributed Generation Allowance</v>
      </c>
      <c r="C260" s="118" t="s">
        <v>186</v>
      </c>
      <c r="D260" s="215" t="str">
        <f>'Target Revenue'!E37</f>
        <v>CPD</v>
      </c>
      <c r="E260" s="215" t="str">
        <f>'Target Revenue'!F37</f>
        <v>Passthrough</v>
      </c>
      <c r="F260" s="70" t="s">
        <v>206</v>
      </c>
      <c r="H260" s="216">
        <f>INDEX($H$231:$K$236,MATCH($D260,$B$231:$B$236,0),0)*'Pricing Area Allocations'!H50</f>
        <v>165.6118546509862</v>
      </c>
      <c r="I260" s="216">
        <f>INDEX($H$231:$K$236,MATCH($D260,$B$231:$B$236,0),0)*'Pricing Area Allocations'!I50</f>
        <v>0.48574098494627382</v>
      </c>
      <c r="J260" s="216">
        <f>INDEX($H$231:$K$236,MATCH($D260,$B$231:$B$236,0),0)*'Pricing Area Allocations'!J50</f>
        <v>1.431751698693414</v>
      </c>
      <c r="K260" s="216">
        <f>INDEX($H$231:$K$236,MATCH($D260,$B$231:$B$236,0),0)*'Pricing Area Allocations'!K50</f>
        <v>0</v>
      </c>
    </row>
    <row r="261" spans="1:11" ht="12" customHeight="1">
      <c r="A261" s="180" t="str">
        <f t="shared" si="9"/>
        <v>Load group Streetlighting</v>
      </c>
      <c r="B261" s="70" t="str">
        <f t="shared" si="10"/>
        <v>CPP recoverable costs</v>
      </c>
      <c r="C261" s="118" t="s">
        <v>186</v>
      </c>
      <c r="D261" s="215" t="str">
        <f>'Target Revenue'!E38</f>
        <v>ICP Count</v>
      </c>
      <c r="E261" s="215" t="str">
        <f>'Target Revenue'!F38</f>
        <v>Passthrough</v>
      </c>
      <c r="F261" s="70" t="s">
        <v>206</v>
      </c>
      <c r="H261" s="216">
        <f ca="1">INDEX($H$231:$K$236,MATCH($D261,$B$231:$B$236,0),0)*'Pricing Area Allocations'!H51</f>
        <v>0</v>
      </c>
      <c r="I261" s="216">
        <f ca="1">INDEX($H$231:$K$236,MATCH($D261,$B$231:$B$236,0),0)*'Pricing Area Allocations'!I51</f>
        <v>0</v>
      </c>
      <c r="J261" s="216">
        <f ca="1">INDEX($H$231:$K$236,MATCH($D261,$B$231:$B$236,0),0)*'Pricing Area Allocations'!J51</f>
        <v>0</v>
      </c>
      <c r="K261" s="216">
        <f ca="1">INDEX($H$231:$K$236,MATCH($D261,$B$231:$B$236,0),0)*'Pricing Area Allocations'!K51</f>
        <v>0</v>
      </c>
    </row>
    <row r="262" spans="1:11" ht="12" customHeight="1">
      <c r="A262" s="180" t="str">
        <f t="shared" si="9"/>
        <v>Load group Streetlighting</v>
      </c>
      <c r="B262" s="70" t="str">
        <f t="shared" si="10"/>
        <v>Quality Incentive Adjustments</v>
      </c>
      <c r="C262" s="118" t="s">
        <v>186</v>
      </c>
      <c r="D262" s="215" t="str">
        <f>'Target Revenue'!E39</f>
        <v>ICP Count</v>
      </c>
      <c r="E262" s="215" t="str">
        <f>'Target Revenue'!F39</f>
        <v>Passthrough</v>
      </c>
      <c r="F262" s="70" t="s">
        <v>206</v>
      </c>
      <c r="H262" s="216">
        <f ca="1">INDEX($H$231:$K$236,MATCH($D262,$B$231:$B$236,0),0)*'Pricing Area Allocations'!H52</f>
        <v>-7.5251816267733632E-4</v>
      </c>
      <c r="I262" s="216">
        <f ca="1">INDEX($H$231:$K$236,MATCH($D262,$B$231:$B$236,0),0)*'Pricing Area Allocations'!I52</f>
        <v>-1.075025946681909E-4</v>
      </c>
      <c r="J262" s="216">
        <f ca="1">INDEX($H$231:$K$236,MATCH($D262,$B$231:$B$236,0),0)*'Pricing Area Allocations'!J52</f>
        <v>-2.150051893363818E-4</v>
      </c>
      <c r="K262" s="216">
        <f ca="1">INDEX($H$231:$K$236,MATCH($D262,$B$231:$B$236,0),0)*'Pricing Area Allocations'!K52</f>
        <v>0</v>
      </c>
    </row>
    <row r="263" spans="1:11" ht="12" customHeight="1">
      <c r="A263" s="180" t="str">
        <f t="shared" si="9"/>
        <v>Load group Streetlighting</v>
      </c>
      <c r="B263" s="70" t="str">
        <f t="shared" si="10"/>
        <v>Capex Wash-up Adjustment</v>
      </c>
      <c r="C263" s="118" t="s">
        <v>186</v>
      </c>
      <c r="D263" s="215" t="str">
        <f>'Target Revenue'!E40</f>
        <v>Regulated Asset Base</v>
      </c>
      <c r="E263" s="215" t="str">
        <f>'Target Revenue'!F40</f>
        <v>Passthrough</v>
      </c>
      <c r="F263" s="70" t="s">
        <v>206</v>
      </c>
      <c r="H263" s="216">
        <f ca="1">INDEX($H$231:$K$236,MATCH($D263,$B$231:$B$236,0),0)*'Pricing Area Allocations'!H53</f>
        <v>-20.227077159631996</v>
      </c>
      <c r="I263" s="216">
        <f ca="1">INDEX($H$231:$K$236,MATCH($D263,$B$231:$B$236,0),0)*'Pricing Area Allocations'!I53</f>
        <v>-1.0647008901933377</v>
      </c>
      <c r="J263" s="216">
        <f ca="1">INDEX($H$231:$K$236,MATCH($D263,$B$231:$B$236,0),0)*'Pricing Area Allocations'!J53</f>
        <v>-2.7736535707037109</v>
      </c>
      <c r="K263" s="216">
        <f ca="1">INDEX($H$231:$K$236,MATCH($D263,$B$231:$B$236,0),0)*'Pricing Area Allocations'!K53</f>
        <v>0</v>
      </c>
    </row>
    <row r="264" spans="1:11" ht="12" customHeight="1">
      <c r="A264" s="180" t="str">
        <f t="shared" si="9"/>
        <v>Load group Streetlighting</v>
      </c>
      <c r="B264" s="70" t="str">
        <f t="shared" si="10"/>
        <v>Fire and Emergency Management New Zealand (FENZ) levies</v>
      </c>
      <c r="C264" s="118" t="s">
        <v>186</v>
      </c>
      <c r="D264" s="215" t="str">
        <f>'Target Revenue'!E41</f>
        <v>Regulated Asset Base</v>
      </c>
      <c r="E264" s="215" t="str">
        <f>'Target Revenue'!F41</f>
        <v>Passthrough</v>
      </c>
      <c r="F264" s="70" t="s">
        <v>206</v>
      </c>
      <c r="H264" s="216">
        <f>INDEX($H$231:$K$236,MATCH($D264,$B$231:$B$236,0),0)*'Pricing Area Allocations'!H54</f>
        <v>1.1006976356944975</v>
      </c>
      <c r="I264" s="216">
        <f>INDEX($H$231:$K$236,MATCH($D264,$B$231:$B$236,0),0)*'Pricing Area Allocations'!I54</f>
        <v>5.7937869288226654E-2</v>
      </c>
      <c r="J264" s="216">
        <f>INDEX($H$231:$K$236,MATCH($D264,$B$231:$B$236,0),0)*'Pricing Area Allocations'!J54</f>
        <v>0.15093401302695769</v>
      </c>
      <c r="K264" s="216">
        <f>INDEX($H$231:$K$236,MATCH($D264,$B$231:$B$236,0),0)*'Pricing Area Allocations'!K54</f>
        <v>0</v>
      </c>
    </row>
    <row r="265" spans="1:11" ht="12" customHeight="1">
      <c r="A265" s="217"/>
      <c r="B265" s="218" t="s">
        <v>7</v>
      </c>
      <c r="C265" s="163"/>
      <c r="D265" s="88"/>
      <c r="E265" s="88"/>
      <c r="F265" s="88"/>
      <c r="G265" s="88"/>
      <c r="H265" s="219">
        <f ca="1">SUM(H240:H264)</f>
        <v>2186.325732503069</v>
      </c>
      <c r="I265" s="220">
        <f ca="1">SUM(I240:I264)</f>
        <v>103.54286856664613</v>
      </c>
      <c r="J265" s="220">
        <f ca="1">SUM(J240:J264)</f>
        <v>249.6031246735989</v>
      </c>
      <c r="K265" s="220">
        <f ca="1">SUM(K240:K264)</f>
        <v>0</v>
      </c>
    </row>
    <row r="266" spans="1:11" ht="12" customHeight="1">
      <c r="A266" s="217"/>
      <c r="B266" s="218"/>
      <c r="C266" s="163"/>
      <c r="D266" s="88"/>
      <c r="E266" s="88"/>
      <c r="F266" s="88"/>
      <c r="G266" s="88"/>
      <c r="H266" s="219"/>
      <c r="I266" s="220"/>
      <c r="J266" s="220"/>
      <c r="K266" s="220"/>
    </row>
    <row r="267" spans="1:11" ht="12" customHeight="1">
      <c r="A267" s="217"/>
      <c r="B267" s="218"/>
      <c r="C267" s="163"/>
      <c r="D267" s="221"/>
      <c r="E267" s="88" t="str">
        <f>'Name labels'!$B$62</f>
        <v>Distribution</v>
      </c>
      <c r="F267" s="88"/>
      <c r="G267" s="88"/>
      <c r="H267" s="219">
        <f ca="1">SUMIF($E240:H264,$E267,H240:H264)</f>
        <v>1456.5382277502754</v>
      </c>
      <c r="I267" s="219">
        <f ca="1">SUMIF($E240:I264,$E267,I240:I264)</f>
        <v>76.57635001742112</v>
      </c>
      <c r="J267" s="219">
        <f ca="1">SUMIF($E240:J264,$E267,J240:J264)</f>
        <v>191.47125615388356</v>
      </c>
      <c r="K267" s="219">
        <f ca="1">SUMIF($E240:K264,$E267,K240:K264)</f>
        <v>0</v>
      </c>
    </row>
    <row r="268" spans="1:11" ht="12" customHeight="1">
      <c r="A268" s="217"/>
      <c r="B268" s="218"/>
      <c r="C268" s="163"/>
      <c r="D268" s="88"/>
      <c r="E268" s="88" t="str">
        <f>'Name labels'!$B$63</f>
        <v>Passthrough</v>
      </c>
      <c r="F268" s="88"/>
      <c r="G268" s="88"/>
      <c r="H268" s="219">
        <f ca="1">SUMIF($E240:H264,$E268,H240:H264)</f>
        <v>729.78750475279344</v>
      </c>
      <c r="I268" s="219">
        <f ca="1">SUMIF($E240:I264,$E268,I240:I264)</f>
        <v>26.966518549225015</v>
      </c>
      <c r="J268" s="219">
        <f ca="1">SUMIF($E240:J264,$E268,J240:J264)</f>
        <v>58.13186851971539</v>
      </c>
      <c r="K268" s="219">
        <f ca="1">SUMIF($E240:K264,$E268,K240:K264)</f>
        <v>0</v>
      </c>
    </row>
    <row r="269" spans="1:11" ht="12" customHeight="1">
      <c r="A269" s="217"/>
      <c r="B269" s="81"/>
      <c r="C269" s="163"/>
      <c r="D269" s="88"/>
      <c r="E269" s="88"/>
    </row>
    <row r="271" spans="1:11" ht="11.25">
      <c r="A271" s="211"/>
      <c r="B271" s="212" t="str">
        <f>'Name labels'!B62</f>
        <v>Distribution</v>
      </c>
      <c r="C271" s="209"/>
      <c r="D271" s="210"/>
      <c r="E271" s="213"/>
      <c r="F271" s="214"/>
      <c r="G271" s="214"/>
      <c r="H271" s="214"/>
      <c r="I271" s="214"/>
      <c r="J271" s="214"/>
      <c r="K271" s="214"/>
    </row>
    <row r="273" spans="1:11" ht="12" customHeight="1">
      <c r="D273" s="153" t="str">
        <f>'Name labels'!C10</f>
        <v>Load group Streetlighting</v>
      </c>
      <c r="E273" s="216">
        <f ca="1">SUM(H273:K273)</f>
        <v>208.58373088266103</v>
      </c>
      <c r="H273" s="216">
        <f ca="1">H52</f>
        <v>65.830575296546527</v>
      </c>
      <c r="I273" s="216">
        <f t="shared" ref="I273:K273" ca="1" si="11">I52</f>
        <v>73.069187664656269</v>
      </c>
      <c r="J273" s="216">
        <f t="shared" ca="1" si="11"/>
        <v>37.463943208734165</v>
      </c>
      <c r="K273" s="216">
        <f t="shared" ca="1" si="11"/>
        <v>32.220024712724069</v>
      </c>
    </row>
    <row r="274" spans="1:11" ht="12" customHeight="1">
      <c r="D274" s="153" t="str">
        <f>'Name labels'!C11</f>
        <v>Load group 1 (incl residential)</v>
      </c>
      <c r="E274" s="216">
        <f t="shared" ref="E274:E278" ca="1" si="12">SUM(H274:K274)</f>
        <v>53931.106948757682</v>
      </c>
      <c r="H274" s="216">
        <f ca="1">H95</f>
        <v>29306.824025437742</v>
      </c>
      <c r="I274" s="216">
        <f t="shared" ref="I274:K274" ca="1" si="13">I95</f>
        <v>16097.797902544706</v>
      </c>
      <c r="J274" s="216">
        <f t="shared" ca="1" si="13"/>
        <v>8472.5178340366801</v>
      </c>
      <c r="K274" s="216">
        <f t="shared" ca="1" si="13"/>
        <v>53.967186738552513</v>
      </c>
    </row>
    <row r="275" spans="1:11" ht="12" customHeight="1">
      <c r="D275" s="153" t="str">
        <f>'Name labels'!C12</f>
        <v>Load group 2</v>
      </c>
      <c r="E275" s="216">
        <f t="shared" ca="1" si="12"/>
        <v>9086.229923562807</v>
      </c>
      <c r="H275" s="216">
        <f ca="1">H138</f>
        <v>3932.1121039755017</v>
      </c>
      <c r="I275" s="216">
        <f t="shared" ref="I275:K275" ca="1" si="14">I138</f>
        <v>3057.9791824538133</v>
      </c>
      <c r="J275" s="216">
        <f t="shared" ca="1" si="14"/>
        <v>2094.9158580393537</v>
      </c>
      <c r="K275" s="216">
        <f t="shared" ca="1" si="14"/>
        <v>1.2227790941374477</v>
      </c>
    </row>
    <row r="276" spans="1:11" ht="12" customHeight="1">
      <c r="D276" s="153" t="str">
        <f>'Name labels'!C13</f>
        <v>Load group 3</v>
      </c>
      <c r="E276" s="216">
        <f t="shared" ca="1" si="12"/>
        <v>8438.2776202591067</v>
      </c>
      <c r="H276" s="216">
        <f ca="1">H181</f>
        <v>3501.9598146044691</v>
      </c>
      <c r="I276" s="216">
        <f t="shared" ref="I276:K276" ca="1" si="15">I181</f>
        <v>3445.3105135449882</v>
      </c>
      <c r="J276" s="216">
        <f t="shared" ca="1" si="15"/>
        <v>1491.0072921096489</v>
      </c>
      <c r="K276" s="216">
        <f t="shared" ca="1" si="15"/>
        <v>0</v>
      </c>
    </row>
    <row r="277" spans="1:11" ht="12" customHeight="1">
      <c r="D277" s="153" t="str">
        <f>'Name labels'!C14</f>
        <v>Load group 4</v>
      </c>
      <c r="E277" s="216">
        <f t="shared" ca="1" si="12"/>
        <v>9543.1890073688628</v>
      </c>
      <c r="H277" s="216">
        <f ca="1">H224</f>
        <v>3669.3621867976844</v>
      </c>
      <c r="I277" s="216">
        <f t="shared" ref="I277:K277" ca="1" si="16">I224</f>
        <v>3680.4375833671029</v>
      </c>
      <c r="J277" s="216">
        <f t="shared" ca="1" si="16"/>
        <v>2193.3892372040746</v>
      </c>
      <c r="K277" s="216">
        <f t="shared" ca="1" si="16"/>
        <v>0</v>
      </c>
    </row>
    <row r="278" spans="1:11" ht="12" customHeight="1">
      <c r="D278" s="153" t="str">
        <f>'Name labels'!C15</f>
        <v>Load group 5</v>
      </c>
      <c r="E278" s="216">
        <f t="shared" ca="1" si="12"/>
        <v>1724.5858339215802</v>
      </c>
      <c r="H278" s="216">
        <f ca="1">H267</f>
        <v>1456.5382277502754</v>
      </c>
      <c r="I278" s="216">
        <f t="shared" ref="I278:K278" ca="1" si="17">I267</f>
        <v>76.57635001742112</v>
      </c>
      <c r="J278" s="216">
        <f t="shared" ca="1" si="17"/>
        <v>191.47125615388356</v>
      </c>
      <c r="K278" s="216">
        <f t="shared" ca="1" si="17"/>
        <v>0</v>
      </c>
    </row>
    <row r="279" spans="1:11" ht="12" customHeight="1">
      <c r="D279" s="88" t="s">
        <v>7</v>
      </c>
      <c r="E279" s="88">
        <f ca="1">SUM(E273:E278)</f>
        <v>82931.973064752689</v>
      </c>
      <c r="H279" s="88">
        <f ca="1">SUM(H273:H278)</f>
        <v>41932.626933862215</v>
      </c>
      <c r="I279" s="88">
        <f t="shared" ref="I279:K279" ca="1" si="18">SUM(I273:I278)</f>
        <v>26431.17071959269</v>
      </c>
      <c r="J279" s="88">
        <f t="shared" ca="1" si="18"/>
        <v>14480.765420752374</v>
      </c>
      <c r="K279" s="88">
        <f t="shared" ca="1" si="18"/>
        <v>87.409990545414033</v>
      </c>
    </row>
    <row r="280" spans="1:11" ht="12" customHeight="1">
      <c r="E280" s="83">
        <f ca="1">IF((ROUND((SUM('Target Revenue'!J17:J26)),2))=ROUND(E279,2),0,1)</f>
        <v>0</v>
      </c>
    </row>
    <row r="281" spans="1:11" ht="12" customHeight="1">
      <c r="E281" s="92"/>
    </row>
    <row r="282" spans="1:11" ht="11.25">
      <c r="A282" s="211"/>
      <c r="B282" s="212" t="str">
        <f>'Name labels'!B63</f>
        <v>Passthrough</v>
      </c>
      <c r="C282" s="209"/>
      <c r="D282" s="210"/>
      <c r="E282" s="213"/>
      <c r="F282" s="214"/>
      <c r="G282" s="214"/>
      <c r="H282" s="214"/>
      <c r="I282" s="214"/>
      <c r="J282" s="214"/>
      <c r="K282" s="214"/>
    </row>
    <row r="284" spans="1:11" ht="12" customHeight="1">
      <c r="D284" s="153" t="str">
        <f>'Name labels'!C10</f>
        <v>Load group Streetlighting</v>
      </c>
      <c r="E284" s="216">
        <f ca="1">SUM(H284:K284)</f>
        <v>179.59735958723056</v>
      </c>
      <c r="H284" s="216">
        <f ca="1">H53</f>
        <v>108.60632503986444</v>
      </c>
      <c r="I284" s="216">
        <f t="shared" ref="I284:K284" ca="1" si="19">I53</f>
        <v>36.024931440846629</v>
      </c>
      <c r="J284" s="216">
        <f t="shared" ca="1" si="19"/>
        <v>35.043929974564705</v>
      </c>
      <c r="K284" s="216">
        <f t="shared" ca="1" si="19"/>
        <v>-7.7826868045213798E-2</v>
      </c>
    </row>
    <row r="285" spans="1:11" ht="12" customHeight="1">
      <c r="D285" s="153" t="str">
        <f>'Name labels'!C11</f>
        <v>Load group 1 (incl residential)</v>
      </c>
      <c r="E285" s="216">
        <f t="shared" ref="E285:E289" ca="1" si="20">SUM(H285:K285)</f>
        <v>25063.08860016274</v>
      </c>
      <c r="H285" s="216">
        <f ca="1">H96</f>
        <v>14815.097215372665</v>
      </c>
      <c r="I285" s="216">
        <f t="shared" ref="I285:K285" ca="1" si="21">I96</f>
        <v>5384.578932204854</v>
      </c>
      <c r="J285" s="216">
        <f t="shared" ca="1" si="21"/>
        <v>4850.5080863604699</v>
      </c>
      <c r="K285" s="216">
        <f t="shared" ca="1" si="21"/>
        <v>12.90436622474893</v>
      </c>
    </row>
    <row r="286" spans="1:11" ht="12" customHeight="1">
      <c r="D286" s="153" t="str">
        <f>'Name labels'!C12</f>
        <v>Load group 2</v>
      </c>
      <c r="E286" s="216">
        <f t="shared" ca="1" si="20"/>
        <v>6505.697043291214</v>
      </c>
      <c r="H286" s="216">
        <f ca="1">H139</f>
        <v>3471.5139420948522</v>
      </c>
      <c r="I286" s="216">
        <f t="shared" ref="I286:K286" ca="1" si="22">I139</f>
        <v>1357.6143731724176</v>
      </c>
      <c r="J286" s="216">
        <f t="shared" ca="1" si="22"/>
        <v>1676.0219054610761</v>
      </c>
      <c r="K286" s="216">
        <f t="shared" ca="1" si="22"/>
        <v>0.54682256286858311</v>
      </c>
    </row>
    <row r="287" spans="1:11" ht="12" customHeight="1">
      <c r="D287" s="153" t="str">
        <f>'Name labels'!C13</f>
        <v>Load group 3</v>
      </c>
      <c r="E287" s="216">
        <f t="shared" ca="1" si="20"/>
        <v>3102.5795291356935</v>
      </c>
      <c r="H287" s="216">
        <f ca="1">H182</f>
        <v>1944.2638082178296</v>
      </c>
      <c r="I287" s="216">
        <f t="shared" ref="I287:K287" ca="1" si="23">I182</f>
        <v>603.05414874397047</v>
      </c>
      <c r="J287" s="216">
        <f t="shared" ca="1" si="23"/>
        <v>555.26157217389368</v>
      </c>
      <c r="K287" s="216">
        <f t="shared" ca="1" si="23"/>
        <v>0</v>
      </c>
    </row>
    <row r="288" spans="1:11" ht="12" customHeight="1">
      <c r="D288" s="153" t="str">
        <f>'Name labels'!C14</f>
        <v>Load group 4</v>
      </c>
      <c r="E288" s="216">
        <f t="shared" ca="1" si="20"/>
        <v>3194.7435112487092</v>
      </c>
      <c r="H288" s="216">
        <f ca="1">H225</f>
        <v>1923.1244206363499</v>
      </c>
      <c r="I288" s="216">
        <f t="shared" ref="I288:K288" ca="1" si="24">I225</f>
        <v>538.71702584197692</v>
      </c>
      <c r="J288" s="216">
        <f t="shared" ca="1" si="24"/>
        <v>732.90206477038225</v>
      </c>
      <c r="K288" s="216">
        <f t="shared" ca="1" si="24"/>
        <v>0</v>
      </c>
    </row>
    <row r="289" spans="1:11" ht="12" customHeight="1">
      <c r="D289" s="153" t="str">
        <f>'Name labels'!C15</f>
        <v>Load group 5</v>
      </c>
      <c r="E289" s="216">
        <f t="shared" ca="1" si="20"/>
        <v>814.88589182173382</v>
      </c>
      <c r="H289" s="216">
        <f ca="1">H268</f>
        <v>729.78750475279344</v>
      </c>
      <c r="I289" s="216">
        <f t="shared" ref="I289:K289" ca="1" si="25">I268</f>
        <v>26.966518549225015</v>
      </c>
      <c r="J289" s="216">
        <f t="shared" ca="1" si="25"/>
        <v>58.13186851971539</v>
      </c>
      <c r="K289" s="216">
        <f t="shared" ca="1" si="25"/>
        <v>0</v>
      </c>
    </row>
    <row r="290" spans="1:11" ht="12" customHeight="1">
      <c r="D290" s="88" t="s">
        <v>7</v>
      </c>
      <c r="E290" s="88">
        <f ca="1">SUM(E284:E289)</f>
        <v>38860.591935247314</v>
      </c>
      <c r="H290" s="88">
        <f ca="1">SUM(H284:H289)</f>
        <v>22992.393216114353</v>
      </c>
      <c r="I290" s="88">
        <f t="shared" ref="I290" ca="1" si="26">SUM(I284:I289)</f>
        <v>7946.9559299532903</v>
      </c>
      <c r="J290" s="88">
        <f t="shared" ref="J290" ca="1" si="27">SUM(J284:J289)</f>
        <v>7907.8694272601024</v>
      </c>
      <c r="K290" s="88">
        <f t="shared" ref="K290" ca="1" si="28">SUM(K284:K289)</f>
        <v>13.373361919572298</v>
      </c>
    </row>
    <row r="291" spans="1:11" ht="12" customHeight="1">
      <c r="E291" s="83">
        <f ca="1">IF(E290=SUM('Target Revenue'!J27:J41),0,1)</f>
        <v>0</v>
      </c>
    </row>
    <row r="292" spans="1:11" ht="12" customHeight="1">
      <c r="E292" s="92"/>
    </row>
    <row r="293" spans="1:11" ht="11.25">
      <c r="A293" s="211"/>
      <c r="B293" s="212" t="s">
        <v>7</v>
      </c>
      <c r="C293" s="209"/>
      <c r="D293" s="210"/>
      <c r="E293" s="213"/>
      <c r="F293" s="214"/>
      <c r="G293" s="214"/>
      <c r="H293" s="214"/>
      <c r="I293" s="214"/>
      <c r="J293" s="214"/>
      <c r="K293" s="214"/>
    </row>
    <row r="295" spans="1:11" ht="12" customHeight="1">
      <c r="D295" s="153" t="str">
        <f>'Name labels'!C10</f>
        <v>Load group Streetlighting</v>
      </c>
      <c r="E295" s="216">
        <f ca="1">SUM(H295:K295)</f>
        <v>388.18109046989156</v>
      </c>
      <c r="H295" s="216">
        <f t="shared" ref="H295:H300" ca="1" si="29">H273+H284</f>
        <v>174.43690033641099</v>
      </c>
      <c r="I295" s="216">
        <f t="shared" ref="I295:K295" ca="1" si="30">I273+I284</f>
        <v>109.0941191055029</v>
      </c>
      <c r="J295" s="216">
        <f t="shared" ca="1" si="30"/>
        <v>72.507873183298869</v>
      </c>
      <c r="K295" s="216">
        <f t="shared" ca="1" si="30"/>
        <v>32.142197844678854</v>
      </c>
    </row>
    <row r="296" spans="1:11" ht="12" customHeight="1">
      <c r="D296" s="153" t="str">
        <f>'Name labels'!C11</f>
        <v>Load group 1 (incl residential)</v>
      </c>
      <c r="E296" s="216">
        <f t="shared" ref="E296:E300" ca="1" si="31">SUM(H296:K296)</f>
        <v>78994.195548920427</v>
      </c>
      <c r="H296" s="216">
        <f t="shared" ca="1" si="29"/>
        <v>44121.921240810407</v>
      </c>
      <c r="I296" s="216">
        <f t="shared" ref="I296:K300" ca="1" si="32">I274+I285</f>
        <v>21482.376834749561</v>
      </c>
      <c r="J296" s="216">
        <f t="shared" ca="1" si="32"/>
        <v>13323.025920397151</v>
      </c>
      <c r="K296" s="216">
        <f t="shared" ca="1" si="32"/>
        <v>66.87155296330144</v>
      </c>
    </row>
    <row r="297" spans="1:11" ht="12" customHeight="1">
      <c r="D297" s="153" t="str">
        <f>'Name labels'!C12</f>
        <v>Load group 2</v>
      </c>
      <c r="E297" s="216">
        <f t="shared" ca="1" si="31"/>
        <v>15591.926966854022</v>
      </c>
      <c r="H297" s="216">
        <f t="shared" ca="1" si="29"/>
        <v>7403.6260460703543</v>
      </c>
      <c r="I297" s="216">
        <f t="shared" ca="1" si="32"/>
        <v>4415.5935556262311</v>
      </c>
      <c r="J297" s="216">
        <f t="shared" ca="1" si="32"/>
        <v>3770.9377635004298</v>
      </c>
      <c r="K297" s="216">
        <f t="shared" ca="1" si="32"/>
        <v>1.7696016570060307</v>
      </c>
    </row>
    <row r="298" spans="1:11" ht="12" customHeight="1">
      <c r="D298" s="153" t="str">
        <f>'Name labels'!C13</f>
        <v>Load group 3</v>
      </c>
      <c r="E298" s="216">
        <f t="shared" ca="1" si="31"/>
        <v>11540.8571493948</v>
      </c>
      <c r="H298" s="216">
        <f t="shared" ca="1" si="29"/>
        <v>5446.2236228222991</v>
      </c>
      <c r="I298" s="216">
        <f t="shared" ca="1" si="32"/>
        <v>4048.3646622889587</v>
      </c>
      <c r="J298" s="216">
        <f t="shared" ca="1" si="32"/>
        <v>2046.2688642835426</v>
      </c>
      <c r="K298" s="216">
        <f t="shared" ca="1" si="32"/>
        <v>0</v>
      </c>
    </row>
    <row r="299" spans="1:11" ht="12" customHeight="1">
      <c r="D299" s="153" t="str">
        <f>'Name labels'!C14</f>
        <v>Load group 4</v>
      </c>
      <c r="E299" s="216">
        <f t="shared" ca="1" si="31"/>
        <v>12737.932518617572</v>
      </c>
      <c r="H299" s="216">
        <f t="shared" ca="1" si="29"/>
        <v>5592.4866074340343</v>
      </c>
      <c r="I299" s="216">
        <f t="shared" ca="1" si="32"/>
        <v>4219.1546092090794</v>
      </c>
      <c r="J299" s="216">
        <f t="shared" ca="1" si="32"/>
        <v>2926.2913019744569</v>
      </c>
      <c r="K299" s="216">
        <f t="shared" ca="1" si="32"/>
        <v>0</v>
      </c>
    </row>
    <row r="300" spans="1:11" ht="12" customHeight="1">
      <c r="D300" s="153" t="str">
        <f>'Name labels'!C15</f>
        <v>Load group 5</v>
      </c>
      <c r="E300" s="216">
        <f t="shared" ca="1" si="31"/>
        <v>2539.471725743314</v>
      </c>
      <c r="H300" s="216">
        <f t="shared" ca="1" si="29"/>
        <v>2186.325732503069</v>
      </c>
      <c r="I300" s="216">
        <f t="shared" ca="1" si="32"/>
        <v>103.54286856664613</v>
      </c>
      <c r="J300" s="216">
        <f t="shared" ca="1" si="32"/>
        <v>249.60312467359896</v>
      </c>
      <c r="K300" s="216">
        <f t="shared" ca="1" si="32"/>
        <v>0</v>
      </c>
    </row>
    <row r="301" spans="1:11" ht="12" customHeight="1">
      <c r="D301" s="88" t="s">
        <v>7</v>
      </c>
      <c r="E301" s="88">
        <f ca="1">SUM(E295:E300)</f>
        <v>121792.56500000002</v>
      </c>
      <c r="H301" s="88">
        <f ca="1">SUM(H295:H300)</f>
        <v>64925.020149976575</v>
      </c>
      <c r="I301" s="88">
        <f t="shared" ref="I301" ca="1" si="33">SUM(I295:I300)</f>
        <v>34378.126649545979</v>
      </c>
      <c r="J301" s="88">
        <f t="shared" ref="J301" ca="1" si="34">SUM(J295:J300)</f>
        <v>22388.634848012476</v>
      </c>
      <c r="K301" s="88">
        <f t="shared" ref="K301" ca="1" si="35">SUM(K295:K300)</f>
        <v>100.78335246498634</v>
      </c>
    </row>
    <row r="302" spans="1:11" ht="12" customHeight="1">
      <c r="H302" s="83">
        <f ca="1">IF(H301='Pricing Area Allocations'!H55,0,1)</f>
        <v>0</v>
      </c>
      <c r="I302" s="83">
        <f ca="1">IF(I301='Pricing Area Allocations'!I55,0,1)</f>
        <v>0</v>
      </c>
      <c r="J302" s="83">
        <f ca="1">IF(ROUND((J301),5)=ROUND(('Pricing Area Allocations'!J55),5),0,1)</f>
        <v>0</v>
      </c>
      <c r="K302" s="83">
        <f ca="1">IF(K301='Pricing Area Allocations'!K55,0,1)</f>
        <v>0</v>
      </c>
    </row>
    <row r="304" spans="1:11" ht="12" customHeight="1">
      <c r="B304" s="72" t="s">
        <v>199</v>
      </c>
    </row>
    <row r="305" spans="2:11" ht="12" customHeight="1">
      <c r="B305" s="83">
        <f ca="1">IF(SUM(,H302:K302)&gt;0.0001,1,0)</f>
        <v>0</v>
      </c>
    </row>
    <row r="308" spans="2:11" ht="12" customHeight="1">
      <c r="E308" s="223"/>
      <c r="H308" s="223"/>
      <c r="I308" s="223"/>
      <c r="J308" s="223"/>
      <c r="K308" s="223"/>
    </row>
  </sheetData>
  <sheetProtection algorithmName="SHA-512" hashValue="aFrUV3sXJLGvycRuS5mYHZDo8RQtc51XwDO81qqMz8nYpDvARelXLBpHZS3v7fmTr9ip4j0deI0axJQyaQu6UA==" saltValue="dZbqSP83yHaCXlOYV+wMHQ==" spinCount="100000" sheet="1" objects="1" scenarios="1"/>
  <conditionalFormatting sqref="H22:K53">
    <cfRule type="cellIs" dxfId="43" priority="47" operator="lessThan">
      <formula>0</formula>
    </cfRule>
  </conditionalFormatting>
  <conditionalFormatting sqref="H108:K139">
    <cfRule type="cellIs" dxfId="42" priority="28" operator="lessThan">
      <formula>0</formula>
    </cfRule>
  </conditionalFormatting>
  <conditionalFormatting sqref="H273:K278">
    <cfRule type="cellIs" dxfId="41" priority="15" operator="lessThan">
      <formula>0</formula>
    </cfRule>
  </conditionalFormatting>
  <conditionalFormatting sqref="H65:K96">
    <cfRule type="cellIs" dxfId="40" priority="31" operator="lessThan">
      <formula>0</formula>
    </cfRule>
  </conditionalFormatting>
  <conditionalFormatting sqref="H194:K225">
    <cfRule type="cellIs" dxfId="39" priority="21" operator="lessThan">
      <formula>0</formula>
    </cfRule>
  </conditionalFormatting>
  <conditionalFormatting sqref="E273:E278">
    <cfRule type="cellIs" dxfId="38" priority="14" operator="lessThan">
      <formula>0</formula>
    </cfRule>
  </conditionalFormatting>
  <conditionalFormatting sqref="H151:K182">
    <cfRule type="cellIs" dxfId="37" priority="24" operator="lessThan">
      <formula>0</formula>
    </cfRule>
  </conditionalFormatting>
  <conditionalFormatting sqref="H237:K239 H265:K268">
    <cfRule type="cellIs" dxfId="36" priority="18" operator="lessThan">
      <formula>0</formula>
    </cfRule>
  </conditionalFormatting>
  <conditionalFormatting sqref="H284:K289">
    <cfRule type="cellIs" dxfId="35" priority="13" operator="lessThan">
      <formula>0</formula>
    </cfRule>
  </conditionalFormatting>
  <conditionalFormatting sqref="E284:E289">
    <cfRule type="cellIs" dxfId="34" priority="12" operator="lessThan">
      <formula>0</formula>
    </cfRule>
  </conditionalFormatting>
  <conditionalFormatting sqref="H295:K300">
    <cfRule type="cellIs" dxfId="33" priority="11" operator="lessThan">
      <formula>0</formula>
    </cfRule>
  </conditionalFormatting>
  <conditionalFormatting sqref="E295:E300">
    <cfRule type="cellIs" dxfId="32" priority="10" operator="lessThan">
      <formula>0</formula>
    </cfRule>
  </conditionalFormatting>
  <conditionalFormatting sqref="E280:E281">
    <cfRule type="cellIs" dxfId="31" priority="8" stopIfTrue="1" operator="equal">
      <formula>0</formula>
    </cfRule>
    <cfRule type="cellIs" dxfId="30" priority="9" stopIfTrue="1" operator="notEqual">
      <formula>0</formula>
    </cfRule>
  </conditionalFormatting>
  <conditionalFormatting sqref="E291:E292">
    <cfRule type="cellIs" dxfId="29" priority="6" stopIfTrue="1" operator="equal">
      <formula>0</formula>
    </cfRule>
    <cfRule type="cellIs" dxfId="28" priority="7" stopIfTrue="1" operator="notEqual">
      <formula>0</formula>
    </cfRule>
  </conditionalFormatting>
  <conditionalFormatting sqref="H302:K302">
    <cfRule type="cellIs" dxfId="27" priority="4" stopIfTrue="1" operator="equal">
      <formula>0</formula>
    </cfRule>
    <cfRule type="cellIs" dxfId="26" priority="5" stopIfTrue="1" operator="notEqual">
      <formula>0</formula>
    </cfRule>
  </conditionalFormatting>
  <conditionalFormatting sqref="B305">
    <cfRule type="cellIs" dxfId="25" priority="2" stopIfTrue="1" operator="equal">
      <formula>0</formula>
    </cfRule>
    <cfRule type="cellIs" dxfId="24" priority="3" stopIfTrue="1" operator="notEqual">
      <formula>0</formula>
    </cfRule>
  </conditionalFormatting>
  <conditionalFormatting sqref="H240:K264">
    <cfRule type="cellIs" dxfId="23" priority="1" operator="lessThan">
      <formula>0</formula>
    </cfRule>
  </conditionalFormatting>
  <pageMargins left="0.70866141732283472" right="0.70866141732283472" top="0.74803149606299213" bottom="0.74803149606299213" header="0.31496062992125984" footer="0.31496062992125984"/>
  <pageSetup paperSize="8" scale="1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theme="9"/>
    <outlinePr summaryBelow="0"/>
    <pageSetUpPr fitToPage="1"/>
  </sheetPr>
  <dimension ref="B2"/>
  <sheetViews>
    <sheetView showGridLines="0" workbookViewId="0">
      <selection sqref="A1:XFD1048576"/>
    </sheetView>
  </sheetViews>
  <sheetFormatPr defaultColWidth="9.140625" defaultRowHeight="15" customHeight="1"/>
  <cols>
    <col min="1" max="1" width="2.7109375" style="1" customWidth="1"/>
    <col min="2" max="16384" width="9.140625" style="1"/>
  </cols>
  <sheetData>
    <row r="2" spans="2:2" ht="15" customHeight="1">
      <c r="B2" s="7" t="s">
        <v>157</v>
      </c>
    </row>
  </sheetData>
  <sheetProtection algorithmName="SHA-512" hashValue="SgZXr9DlnZ9u7l6sZMX8iLu486HIXebDiOEEaVzqsjVMYQr3eYFPCFWBxsywGK9mCoc83XQnmrQj+kakUOrkyg==" saltValue="9czFCgaA6i7BHuzWJjogWQ==" spinCount="100000" sheet="1" objects="1" scenarios="1"/>
  <pageMargins left="0.70866141732283472" right="0.70866141732283472" top="0.74803149606299213" bottom="0.74803149606299213" header="0.31496062992125984" footer="0.31496062992125984"/>
  <pageSetup paperSize="9"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E6A3-DD7F-44AA-8CED-23DBFAC1FEDC}">
  <sheetPr>
    <pageSetUpPr fitToPage="1"/>
  </sheetPr>
  <dimension ref="A1:M293"/>
  <sheetViews>
    <sheetView showGridLines="0" workbookViewId="0">
      <selection activeCell="V47" sqref="V47"/>
    </sheetView>
  </sheetViews>
  <sheetFormatPr defaultColWidth="8.85546875" defaultRowHeight="12" outlineLevelRow="1"/>
  <cols>
    <col min="1" max="1" width="2.7109375" style="180" customWidth="1"/>
    <col min="2" max="2" width="8.85546875" style="79"/>
    <col min="3" max="3" width="22.42578125" style="79" bestFit="1" customWidth="1"/>
    <col min="4" max="4" width="7.7109375" style="79" bestFit="1" customWidth="1"/>
    <col min="5" max="6" width="8.85546875" style="79"/>
    <col min="7" max="7" width="6.85546875" style="79" bestFit="1" customWidth="1"/>
    <col min="8" max="10" width="11.140625" style="79" bestFit="1" customWidth="1"/>
    <col min="11" max="11" width="13.140625" style="79" customWidth="1"/>
    <col min="12" max="16384" width="8.85546875" style="79"/>
  </cols>
  <sheetData>
    <row r="1" spans="1:11" s="70" customFormat="1" ht="12" customHeight="1">
      <c r="A1" s="180"/>
      <c r="C1" s="118"/>
    </row>
    <row r="2" spans="1:11" s="70" customFormat="1" ht="15" customHeight="1">
      <c r="A2" s="180"/>
      <c r="B2" s="71" t="str">
        <f ca="1">MID(CELL("filename",A1),FIND("]",CELL("filename",A1))+1,255)</f>
        <v>Rev - Pricing Area &amp; Cust Group</v>
      </c>
      <c r="C2" s="118"/>
    </row>
    <row r="3" spans="1:11" s="70" customFormat="1" ht="12" customHeight="1">
      <c r="A3" s="180"/>
      <c r="B3" s="72" t="str">
        <f>'Name labels'!B8</f>
        <v>Pricing Area Name</v>
      </c>
      <c r="C3" s="206"/>
      <c r="D3" s="73"/>
      <c r="E3" s="73"/>
      <c r="F3" s="73"/>
      <c r="G3" s="73"/>
      <c r="H3" s="74" t="str">
        <f>'Name labels'!B10</f>
        <v>Dunedin</v>
      </c>
      <c r="I3" s="74" t="str">
        <f>'Name labels'!B11</f>
        <v>Central Otago</v>
      </c>
      <c r="J3" s="74" t="str">
        <f>'Name labels'!B12</f>
        <v>Queenstown</v>
      </c>
      <c r="K3" s="74" t="str">
        <f>'Name labels'!B13</f>
        <v>Te Anau</v>
      </c>
    </row>
    <row r="4" spans="1:11" s="70" customFormat="1" ht="12" customHeight="1">
      <c r="A4" s="180"/>
      <c r="B4" s="72"/>
      <c r="C4" s="206"/>
      <c r="D4" s="73"/>
      <c r="E4" s="73"/>
      <c r="F4" s="73"/>
      <c r="G4" s="73"/>
      <c r="H4" s="76">
        <v>1</v>
      </c>
      <c r="I4" s="76">
        <v>2</v>
      </c>
      <c r="J4" s="76">
        <v>3</v>
      </c>
      <c r="K4" s="76">
        <v>4</v>
      </c>
    </row>
    <row r="5" spans="1:11" s="70" customFormat="1" ht="12" customHeight="1">
      <c r="A5" s="180"/>
      <c r="C5" s="118"/>
    </row>
    <row r="6" spans="1:11" s="70" customFormat="1" ht="12" customHeight="1">
      <c r="A6" s="180"/>
      <c r="C6" s="118"/>
    </row>
    <row r="7" spans="1:11" s="70" customFormat="1" ht="12" customHeight="1">
      <c r="A7" s="180"/>
      <c r="B7" s="208" t="s">
        <v>60</v>
      </c>
      <c r="C7" s="209"/>
      <c r="D7" s="210"/>
      <c r="E7" s="209"/>
      <c r="F7" s="209"/>
      <c r="G7" s="209"/>
      <c r="H7" s="209"/>
      <c r="I7" s="209"/>
      <c r="J7" s="209"/>
      <c r="K7" s="209"/>
    </row>
    <row r="8" spans="1:11" s="70" customFormat="1" ht="12" customHeight="1" outlineLevel="1">
      <c r="A8" s="180"/>
      <c r="C8" s="118"/>
    </row>
    <row r="9" spans="1:11" s="70" customFormat="1" ht="12" customHeight="1" outlineLevel="1">
      <c r="A9" s="180"/>
      <c r="B9" s="79" t="s">
        <v>208</v>
      </c>
      <c r="C9" s="118"/>
    </row>
    <row r="10" spans="1:11" s="70" customFormat="1" ht="12" customHeight="1" outlineLevel="1">
      <c r="A10" s="180"/>
      <c r="B10" s="79"/>
      <c r="C10" s="118"/>
    </row>
    <row r="11" spans="1:11" s="70" customFormat="1" ht="12" customHeight="1">
      <c r="A11" s="180"/>
      <c r="C11" s="118"/>
    </row>
    <row r="12" spans="1:11" ht="22.5" customHeight="1">
      <c r="A12" s="211"/>
      <c r="B12" s="160" t="str">
        <f>'Load Group Allocations'!B271</f>
        <v>Distribution</v>
      </c>
      <c r="C12" s="224"/>
      <c r="D12" s="225"/>
      <c r="E12" s="226"/>
      <c r="F12" s="77" t="s">
        <v>178</v>
      </c>
      <c r="G12" s="226"/>
      <c r="H12" s="226" t="str">
        <f>H3</f>
        <v>Dunedin</v>
      </c>
      <c r="I12" s="226" t="str">
        <f t="shared" ref="I12:K12" si="0">I3</f>
        <v>Central Otago</v>
      </c>
      <c r="J12" s="226" t="str">
        <f t="shared" si="0"/>
        <v>Queenstown</v>
      </c>
      <c r="K12" s="226" t="str">
        <f t="shared" si="0"/>
        <v>Te Anau</v>
      </c>
    </row>
    <row r="13" spans="1:11">
      <c r="B13" s="70"/>
      <c r="C13" s="118"/>
      <c r="D13" s="70"/>
      <c r="E13" s="70"/>
      <c r="F13" s="100"/>
      <c r="G13" s="70"/>
      <c r="H13" s="70"/>
      <c r="I13" s="70"/>
      <c r="J13" s="70"/>
      <c r="K13" s="70"/>
    </row>
    <row r="14" spans="1:11">
      <c r="B14" s="70"/>
      <c r="C14" s="118"/>
      <c r="D14" s="153" t="str">
        <f>'Load Group Allocations'!D273</f>
        <v>Load group Streetlighting</v>
      </c>
      <c r="E14" s="216">
        <f ca="1">'Load Group Allocations'!E273</f>
        <v>208.58373088266103</v>
      </c>
      <c r="F14" s="118" t="s">
        <v>209</v>
      </c>
      <c r="G14" s="70"/>
      <c r="H14" s="216">
        <f ca="1">'Load Group Allocations'!H273</f>
        <v>65.830575296546527</v>
      </c>
      <c r="I14" s="216">
        <f ca="1">'Load Group Allocations'!I273</f>
        <v>73.069187664656269</v>
      </c>
      <c r="J14" s="216">
        <f ca="1">'Load Group Allocations'!J273</f>
        <v>37.463943208734165</v>
      </c>
      <c r="K14" s="216">
        <f ca="1">'Load Group Allocations'!K273</f>
        <v>32.220024712724069</v>
      </c>
    </row>
    <row r="15" spans="1:11">
      <c r="B15" s="70"/>
      <c r="C15" s="118"/>
      <c r="D15" s="153" t="str">
        <f>'Load Group Allocations'!D274</f>
        <v>Load group 1 (incl residential)</v>
      </c>
      <c r="E15" s="216">
        <f ca="1">'Load Group Allocations'!E274</f>
        <v>53931.106948757682</v>
      </c>
      <c r="F15" s="118" t="s">
        <v>209</v>
      </c>
      <c r="G15" s="70"/>
      <c r="H15" s="216">
        <f ca="1">'Load Group Allocations'!H274</f>
        <v>29306.824025437742</v>
      </c>
      <c r="I15" s="216">
        <f ca="1">'Load Group Allocations'!I274</f>
        <v>16097.797902544706</v>
      </c>
      <c r="J15" s="216">
        <f ca="1">'Load Group Allocations'!J274</f>
        <v>8472.5178340366801</v>
      </c>
      <c r="K15" s="216">
        <f ca="1">'Load Group Allocations'!K274</f>
        <v>53.967186738552513</v>
      </c>
    </row>
    <row r="16" spans="1:11">
      <c r="B16" s="70"/>
      <c r="C16" s="118"/>
      <c r="D16" s="153" t="str">
        <f>'Load Group Allocations'!D275</f>
        <v>Load group 2</v>
      </c>
      <c r="E16" s="216">
        <f ca="1">'Load Group Allocations'!E275</f>
        <v>9086.229923562807</v>
      </c>
      <c r="F16" s="118" t="s">
        <v>209</v>
      </c>
      <c r="G16" s="70"/>
      <c r="H16" s="216">
        <f ca="1">'Load Group Allocations'!H275</f>
        <v>3932.1121039755017</v>
      </c>
      <c r="I16" s="216">
        <f ca="1">'Load Group Allocations'!I275</f>
        <v>3057.9791824538133</v>
      </c>
      <c r="J16" s="216">
        <f ca="1">'Load Group Allocations'!J275</f>
        <v>2094.9158580393537</v>
      </c>
      <c r="K16" s="216">
        <f ca="1">'Load Group Allocations'!K275</f>
        <v>1.2227790941374477</v>
      </c>
    </row>
    <row r="17" spans="2:11">
      <c r="B17" s="70"/>
      <c r="C17" s="118"/>
      <c r="D17" s="153" t="str">
        <f>'Load Group Allocations'!D276</f>
        <v>Load group 3</v>
      </c>
      <c r="E17" s="216">
        <f ca="1">'Load Group Allocations'!E276</f>
        <v>8438.2776202591067</v>
      </c>
      <c r="F17" s="118" t="s">
        <v>209</v>
      </c>
      <c r="G17" s="70"/>
      <c r="H17" s="216">
        <f ca="1">'Load Group Allocations'!H276</f>
        <v>3501.9598146044691</v>
      </c>
      <c r="I17" s="216">
        <f ca="1">'Load Group Allocations'!I276</f>
        <v>3445.3105135449882</v>
      </c>
      <c r="J17" s="216">
        <f ca="1">'Load Group Allocations'!J276</f>
        <v>1491.0072921096489</v>
      </c>
      <c r="K17" s="216">
        <f ca="1">'Load Group Allocations'!K276</f>
        <v>0</v>
      </c>
    </row>
    <row r="18" spans="2:11">
      <c r="B18" s="70"/>
      <c r="C18" s="118"/>
      <c r="D18" s="153" t="str">
        <f>'Load Group Allocations'!D277</f>
        <v>Load group 4</v>
      </c>
      <c r="E18" s="216">
        <f ca="1">'Load Group Allocations'!E277</f>
        <v>9543.1890073688628</v>
      </c>
      <c r="F18" s="118" t="s">
        <v>209</v>
      </c>
      <c r="G18" s="70"/>
      <c r="H18" s="216">
        <f ca="1">'Load Group Allocations'!H277</f>
        <v>3669.3621867976844</v>
      </c>
      <c r="I18" s="216">
        <f ca="1">'Load Group Allocations'!I277</f>
        <v>3680.4375833671029</v>
      </c>
      <c r="J18" s="216">
        <f ca="1">'Load Group Allocations'!J277</f>
        <v>2193.3892372040746</v>
      </c>
      <c r="K18" s="216">
        <f ca="1">'Load Group Allocations'!K277</f>
        <v>0</v>
      </c>
    </row>
    <row r="19" spans="2:11">
      <c r="B19" s="70"/>
      <c r="C19" s="118"/>
      <c r="D19" s="153" t="str">
        <f>'Load Group Allocations'!D278</f>
        <v>Load group 5</v>
      </c>
      <c r="E19" s="216">
        <f ca="1">'Load Group Allocations'!E278</f>
        <v>1724.5858339215802</v>
      </c>
      <c r="F19" s="118" t="s">
        <v>209</v>
      </c>
      <c r="G19" s="70"/>
      <c r="H19" s="216">
        <f ca="1">'Load Group Allocations'!H278</f>
        <v>1456.5382277502754</v>
      </c>
      <c r="I19" s="216">
        <f ca="1">'Load Group Allocations'!I278</f>
        <v>76.57635001742112</v>
      </c>
      <c r="J19" s="216">
        <f ca="1">'Load Group Allocations'!J278</f>
        <v>191.47125615388356</v>
      </c>
      <c r="K19" s="216">
        <f ca="1">'Load Group Allocations'!K278</f>
        <v>0</v>
      </c>
    </row>
    <row r="20" spans="2:11">
      <c r="B20" s="70"/>
      <c r="C20" s="118"/>
      <c r="D20" s="88" t="str">
        <f>'Load Group Allocations'!D279</f>
        <v>Total</v>
      </c>
      <c r="E20" s="88">
        <f ca="1">'Load Group Allocations'!E279</f>
        <v>82931.973064752689</v>
      </c>
      <c r="F20" s="70"/>
      <c r="G20" s="70"/>
      <c r="H20" s="88">
        <f ca="1">'Load Group Allocations'!H279</f>
        <v>41932.626933862215</v>
      </c>
      <c r="I20" s="88">
        <f ca="1">'Load Group Allocations'!I279</f>
        <v>26431.17071959269</v>
      </c>
      <c r="J20" s="88">
        <f ca="1">'Load Group Allocations'!J279</f>
        <v>14480.765420752374</v>
      </c>
      <c r="K20" s="88">
        <f ca="1">'Load Group Allocations'!K279</f>
        <v>87.409990545414033</v>
      </c>
    </row>
    <row r="21" spans="2:11">
      <c r="B21" s="70"/>
      <c r="C21" s="118"/>
      <c r="D21" s="70"/>
      <c r="E21" s="70"/>
      <c r="F21" s="70"/>
      <c r="G21" s="70"/>
      <c r="H21" s="70"/>
      <c r="I21" s="70"/>
      <c r="J21" s="70"/>
      <c r="K21" s="70"/>
    </row>
    <row r="22" spans="2:11">
      <c r="B22" s="70"/>
      <c r="C22" s="118"/>
      <c r="D22" s="70"/>
      <c r="E22" s="92"/>
      <c r="F22" s="70"/>
      <c r="G22" s="70"/>
      <c r="H22" s="70"/>
      <c r="I22" s="70"/>
      <c r="J22" s="70"/>
      <c r="K22" s="70"/>
    </row>
    <row r="23" spans="2:11" ht="24.75" customHeight="1">
      <c r="B23" s="160" t="str">
        <f>'Load Group Allocations'!B282</f>
        <v>Passthrough</v>
      </c>
      <c r="C23" s="224"/>
      <c r="D23" s="225"/>
      <c r="E23" s="226"/>
      <c r="F23" s="77" t="s">
        <v>178</v>
      </c>
      <c r="G23" s="226"/>
      <c r="H23" s="226" t="str">
        <f>H12</f>
        <v>Dunedin</v>
      </c>
      <c r="I23" s="226" t="str">
        <f t="shared" ref="I23:K23" si="1">I12</f>
        <v>Central Otago</v>
      </c>
      <c r="J23" s="226" t="str">
        <f t="shared" si="1"/>
        <v>Queenstown</v>
      </c>
      <c r="K23" s="226" t="str">
        <f t="shared" si="1"/>
        <v>Te Anau</v>
      </c>
    </row>
    <row r="24" spans="2:11">
      <c r="B24" s="70"/>
      <c r="C24" s="118"/>
      <c r="D24" s="70"/>
      <c r="E24" s="70"/>
      <c r="F24" s="70"/>
      <c r="G24" s="70"/>
      <c r="H24" s="70"/>
      <c r="I24" s="70"/>
      <c r="J24" s="70"/>
      <c r="K24" s="70"/>
    </row>
    <row r="25" spans="2:11">
      <c r="B25" s="70"/>
      <c r="C25" s="118"/>
      <c r="D25" s="153" t="str">
        <f>'Load Group Allocations'!D284</f>
        <v>Load group Streetlighting</v>
      </c>
      <c r="E25" s="216">
        <f ca="1">'Load Group Allocations'!E284</f>
        <v>179.59735958723056</v>
      </c>
      <c r="F25" s="118" t="s">
        <v>209</v>
      </c>
      <c r="G25" s="70"/>
      <c r="H25" s="216">
        <f ca="1">'Load Group Allocations'!H284</f>
        <v>108.60632503986444</v>
      </c>
      <c r="I25" s="216">
        <f ca="1">'Load Group Allocations'!I284</f>
        <v>36.024931440846629</v>
      </c>
      <c r="J25" s="216">
        <f ca="1">'Load Group Allocations'!J284</f>
        <v>35.043929974564705</v>
      </c>
      <c r="K25" s="216">
        <f ca="1">'Load Group Allocations'!K284</f>
        <v>-7.7826868045213798E-2</v>
      </c>
    </row>
    <row r="26" spans="2:11">
      <c r="B26" s="70"/>
      <c r="C26" s="118"/>
      <c r="D26" s="153" t="str">
        <f>'Load Group Allocations'!D285</f>
        <v>Load group 1 (incl residential)</v>
      </c>
      <c r="E26" s="216">
        <f ca="1">'Load Group Allocations'!E285</f>
        <v>25063.08860016274</v>
      </c>
      <c r="F26" s="118" t="s">
        <v>209</v>
      </c>
      <c r="G26" s="70"/>
      <c r="H26" s="216">
        <f ca="1">'Load Group Allocations'!H285</f>
        <v>14815.097215372665</v>
      </c>
      <c r="I26" s="216">
        <f ca="1">'Load Group Allocations'!I285</f>
        <v>5384.578932204854</v>
      </c>
      <c r="J26" s="216">
        <f ca="1">'Load Group Allocations'!J285</f>
        <v>4850.5080863604699</v>
      </c>
      <c r="K26" s="216">
        <f ca="1">'Load Group Allocations'!K285</f>
        <v>12.90436622474893</v>
      </c>
    </row>
    <row r="27" spans="2:11">
      <c r="B27" s="70"/>
      <c r="C27" s="118"/>
      <c r="D27" s="153" t="str">
        <f>'Load Group Allocations'!D286</f>
        <v>Load group 2</v>
      </c>
      <c r="E27" s="216">
        <f ca="1">'Load Group Allocations'!E286</f>
        <v>6505.697043291214</v>
      </c>
      <c r="F27" s="118" t="s">
        <v>209</v>
      </c>
      <c r="G27" s="70"/>
      <c r="H27" s="216">
        <f ca="1">'Load Group Allocations'!H286</f>
        <v>3471.5139420948522</v>
      </c>
      <c r="I27" s="216">
        <f ca="1">'Load Group Allocations'!I286</f>
        <v>1357.6143731724176</v>
      </c>
      <c r="J27" s="216">
        <f ca="1">'Load Group Allocations'!J286</f>
        <v>1676.0219054610761</v>
      </c>
      <c r="K27" s="216">
        <f ca="1">'Load Group Allocations'!K286</f>
        <v>0.54682256286858311</v>
      </c>
    </row>
    <row r="28" spans="2:11">
      <c r="B28" s="70"/>
      <c r="C28" s="118"/>
      <c r="D28" s="153" t="str">
        <f>'Load Group Allocations'!D287</f>
        <v>Load group 3</v>
      </c>
      <c r="E28" s="216">
        <f ca="1">'Load Group Allocations'!E287</f>
        <v>3102.5795291356935</v>
      </c>
      <c r="F28" s="118" t="s">
        <v>209</v>
      </c>
      <c r="G28" s="70"/>
      <c r="H28" s="216">
        <f ca="1">'Load Group Allocations'!H287</f>
        <v>1944.2638082178296</v>
      </c>
      <c r="I28" s="216">
        <f ca="1">'Load Group Allocations'!I287</f>
        <v>603.05414874397047</v>
      </c>
      <c r="J28" s="216">
        <f ca="1">'Load Group Allocations'!J287</f>
        <v>555.26157217389368</v>
      </c>
      <c r="K28" s="216">
        <f ca="1">'Load Group Allocations'!K287</f>
        <v>0</v>
      </c>
    </row>
    <row r="29" spans="2:11">
      <c r="B29" s="70"/>
      <c r="C29" s="118"/>
      <c r="D29" s="153" t="str">
        <f>'Load Group Allocations'!D288</f>
        <v>Load group 4</v>
      </c>
      <c r="E29" s="216">
        <f ca="1">'Load Group Allocations'!E288</f>
        <v>3194.7435112487092</v>
      </c>
      <c r="F29" s="118" t="s">
        <v>209</v>
      </c>
      <c r="G29" s="70"/>
      <c r="H29" s="216">
        <f ca="1">'Load Group Allocations'!H288</f>
        <v>1923.1244206363499</v>
      </c>
      <c r="I29" s="216">
        <f ca="1">'Load Group Allocations'!I288</f>
        <v>538.71702584197692</v>
      </c>
      <c r="J29" s="216">
        <f ca="1">'Load Group Allocations'!J288</f>
        <v>732.90206477038225</v>
      </c>
      <c r="K29" s="216">
        <f ca="1">'Load Group Allocations'!K288</f>
        <v>0</v>
      </c>
    </row>
    <row r="30" spans="2:11">
      <c r="B30" s="70"/>
      <c r="C30" s="118"/>
      <c r="D30" s="153" t="str">
        <f>'Load Group Allocations'!D289</f>
        <v>Load group 5</v>
      </c>
      <c r="E30" s="216">
        <f ca="1">'Load Group Allocations'!E289</f>
        <v>814.88589182173382</v>
      </c>
      <c r="F30" s="118" t="s">
        <v>209</v>
      </c>
      <c r="G30" s="70"/>
      <c r="H30" s="216">
        <f ca="1">'Load Group Allocations'!H289</f>
        <v>729.78750475279344</v>
      </c>
      <c r="I30" s="216">
        <f ca="1">'Load Group Allocations'!I289</f>
        <v>26.966518549225015</v>
      </c>
      <c r="J30" s="216">
        <f ca="1">'Load Group Allocations'!J289</f>
        <v>58.13186851971539</v>
      </c>
      <c r="K30" s="216">
        <f ca="1">'Load Group Allocations'!K289</f>
        <v>0</v>
      </c>
    </row>
    <row r="31" spans="2:11">
      <c r="B31" s="70"/>
      <c r="C31" s="118"/>
      <c r="D31" s="88" t="str">
        <f>'Load Group Allocations'!D290</f>
        <v>Total</v>
      </c>
      <c r="E31" s="88">
        <f ca="1">'Load Group Allocations'!E290</f>
        <v>38860.591935247314</v>
      </c>
      <c r="F31" s="70"/>
      <c r="G31" s="70"/>
      <c r="H31" s="88">
        <f ca="1">'Load Group Allocations'!H290</f>
        <v>22992.393216114353</v>
      </c>
      <c r="I31" s="88">
        <f ca="1">'Load Group Allocations'!I290</f>
        <v>7946.9559299532903</v>
      </c>
      <c r="J31" s="88">
        <f ca="1">'Load Group Allocations'!J290</f>
        <v>7907.8694272601024</v>
      </c>
      <c r="K31" s="88">
        <f ca="1">'Load Group Allocations'!K290</f>
        <v>13.373361919572298</v>
      </c>
    </row>
    <row r="32" spans="2:11">
      <c r="B32" s="70"/>
      <c r="C32" s="118"/>
      <c r="D32" s="70"/>
      <c r="E32" s="70"/>
      <c r="F32" s="70"/>
      <c r="G32" s="70"/>
      <c r="H32" s="70"/>
      <c r="I32" s="70"/>
      <c r="J32" s="70"/>
      <c r="K32" s="70"/>
    </row>
    <row r="33" spans="2:13">
      <c r="B33" s="70"/>
      <c r="C33" s="118"/>
      <c r="D33" s="70"/>
      <c r="E33" s="92"/>
      <c r="F33" s="70"/>
      <c r="G33" s="70"/>
      <c r="H33" s="70"/>
      <c r="I33" s="70"/>
      <c r="J33" s="70"/>
      <c r="K33" s="70"/>
    </row>
    <row r="34" spans="2:13" ht="24.75" customHeight="1">
      <c r="B34" s="160" t="str">
        <f>'Load Group Allocations'!B293</f>
        <v>Total</v>
      </c>
      <c r="C34" s="224"/>
      <c r="D34" s="225"/>
      <c r="E34" s="226"/>
      <c r="F34" s="77" t="s">
        <v>178</v>
      </c>
      <c r="G34" s="226"/>
      <c r="H34" s="226" t="str">
        <f>H23</f>
        <v>Dunedin</v>
      </c>
      <c r="I34" s="226" t="str">
        <f t="shared" ref="I34:K34" si="2">I23</f>
        <v>Central Otago</v>
      </c>
      <c r="J34" s="226" t="str">
        <f t="shared" si="2"/>
        <v>Queenstown</v>
      </c>
      <c r="K34" s="226" t="str">
        <f t="shared" si="2"/>
        <v>Te Anau</v>
      </c>
    </row>
    <row r="35" spans="2:13">
      <c r="B35" s="70"/>
      <c r="C35" s="118"/>
      <c r="D35" s="70"/>
      <c r="E35" s="70"/>
      <c r="F35" s="70"/>
      <c r="G35" s="70"/>
      <c r="H35" s="70"/>
      <c r="I35" s="70"/>
      <c r="J35" s="70"/>
      <c r="K35" s="70"/>
    </row>
    <row r="36" spans="2:13">
      <c r="B36" s="70"/>
      <c r="C36" s="118"/>
      <c r="D36" s="153" t="str">
        <f>'Load Group Allocations'!D295</f>
        <v>Load group Streetlighting</v>
      </c>
      <c r="E36" s="216">
        <f ca="1">'Load Group Allocations'!E295</f>
        <v>388.18109046989156</v>
      </c>
      <c r="F36" s="118" t="s">
        <v>209</v>
      </c>
      <c r="G36" s="70"/>
      <c r="H36" s="216">
        <f ca="1">'Load Group Allocations'!H295</f>
        <v>174.43690033641099</v>
      </c>
      <c r="I36" s="216">
        <f ca="1">'Load Group Allocations'!I295</f>
        <v>109.0941191055029</v>
      </c>
      <c r="J36" s="216">
        <f ca="1">'Load Group Allocations'!J295</f>
        <v>72.507873183298869</v>
      </c>
      <c r="K36" s="216">
        <f ca="1">'Load Group Allocations'!K295</f>
        <v>32.142197844678854</v>
      </c>
      <c r="M36" s="227"/>
    </row>
    <row r="37" spans="2:13">
      <c r="B37" s="70"/>
      <c r="C37" s="118"/>
      <c r="D37" s="153" t="str">
        <f>'Load Group Allocations'!D296</f>
        <v>Load group 1 (incl residential)</v>
      </c>
      <c r="E37" s="216">
        <f ca="1">'Load Group Allocations'!E296</f>
        <v>78994.195548920427</v>
      </c>
      <c r="F37" s="118" t="s">
        <v>209</v>
      </c>
      <c r="G37" s="70"/>
      <c r="H37" s="216">
        <f ca="1">'Load Group Allocations'!H296</f>
        <v>44121.921240810407</v>
      </c>
      <c r="I37" s="216">
        <f ca="1">'Load Group Allocations'!I296</f>
        <v>21482.376834749561</v>
      </c>
      <c r="J37" s="216">
        <f ca="1">'Load Group Allocations'!J296</f>
        <v>13323.025920397151</v>
      </c>
      <c r="K37" s="216">
        <f ca="1">'Load Group Allocations'!K296</f>
        <v>66.87155296330144</v>
      </c>
      <c r="M37" s="227"/>
    </row>
    <row r="38" spans="2:13">
      <c r="B38" s="70"/>
      <c r="C38" s="118"/>
      <c r="D38" s="153" t="str">
        <f>'Load Group Allocations'!D297</f>
        <v>Load group 2</v>
      </c>
      <c r="E38" s="216">
        <f ca="1">'Load Group Allocations'!E297</f>
        <v>15591.926966854022</v>
      </c>
      <c r="F38" s="118" t="s">
        <v>209</v>
      </c>
      <c r="G38" s="70"/>
      <c r="H38" s="216">
        <f ca="1">'Load Group Allocations'!H297</f>
        <v>7403.6260460703543</v>
      </c>
      <c r="I38" s="216">
        <f ca="1">'Load Group Allocations'!I297</f>
        <v>4415.5935556262311</v>
      </c>
      <c r="J38" s="216">
        <f ca="1">'Load Group Allocations'!J297</f>
        <v>3770.9377635004298</v>
      </c>
      <c r="K38" s="216">
        <f ca="1">'Load Group Allocations'!K297</f>
        <v>1.7696016570060307</v>
      </c>
      <c r="M38" s="227"/>
    </row>
    <row r="39" spans="2:13">
      <c r="B39" s="70"/>
      <c r="C39" s="118"/>
      <c r="D39" s="153" t="str">
        <f>'Load Group Allocations'!D298</f>
        <v>Load group 3</v>
      </c>
      <c r="E39" s="216">
        <f ca="1">'Load Group Allocations'!E298</f>
        <v>11540.8571493948</v>
      </c>
      <c r="F39" s="118" t="s">
        <v>209</v>
      </c>
      <c r="G39" s="70"/>
      <c r="H39" s="216">
        <f ca="1">'Load Group Allocations'!H298</f>
        <v>5446.2236228222991</v>
      </c>
      <c r="I39" s="216">
        <f ca="1">'Load Group Allocations'!I298</f>
        <v>4048.3646622889587</v>
      </c>
      <c r="J39" s="216">
        <f ca="1">'Load Group Allocations'!J298</f>
        <v>2046.2688642835426</v>
      </c>
      <c r="K39" s="216">
        <f ca="1">'Load Group Allocations'!K298</f>
        <v>0</v>
      </c>
      <c r="M39" s="227"/>
    </row>
    <row r="40" spans="2:13">
      <c r="B40" s="70"/>
      <c r="C40" s="118"/>
      <c r="D40" s="153" t="str">
        <f>'Load Group Allocations'!D299</f>
        <v>Load group 4</v>
      </c>
      <c r="E40" s="216">
        <f ca="1">'Load Group Allocations'!E299</f>
        <v>12737.932518617572</v>
      </c>
      <c r="F40" s="118" t="s">
        <v>209</v>
      </c>
      <c r="G40" s="70"/>
      <c r="H40" s="216">
        <f ca="1">'Load Group Allocations'!H299</f>
        <v>5592.4866074340343</v>
      </c>
      <c r="I40" s="216">
        <f ca="1">'Load Group Allocations'!I299</f>
        <v>4219.1546092090794</v>
      </c>
      <c r="J40" s="216">
        <f ca="1">'Load Group Allocations'!J299</f>
        <v>2926.2913019744569</v>
      </c>
      <c r="K40" s="216">
        <f ca="1">'Load Group Allocations'!K299</f>
        <v>0</v>
      </c>
      <c r="M40" s="227"/>
    </row>
    <row r="41" spans="2:13">
      <c r="B41" s="70"/>
      <c r="C41" s="118"/>
      <c r="D41" s="153" t="str">
        <f>'Load Group Allocations'!D300</f>
        <v>Load group 5</v>
      </c>
      <c r="E41" s="216">
        <f ca="1">'Load Group Allocations'!E300</f>
        <v>2539.471725743314</v>
      </c>
      <c r="F41" s="118" t="s">
        <v>209</v>
      </c>
      <c r="G41" s="70"/>
      <c r="H41" s="216">
        <f ca="1">'Load Group Allocations'!H300</f>
        <v>2186.325732503069</v>
      </c>
      <c r="I41" s="216">
        <f ca="1">'Load Group Allocations'!I300</f>
        <v>103.54286856664613</v>
      </c>
      <c r="J41" s="216">
        <f ca="1">'Load Group Allocations'!J300</f>
        <v>249.60312467359896</v>
      </c>
      <c r="K41" s="216">
        <f ca="1">'Load Group Allocations'!K300</f>
        <v>0</v>
      </c>
      <c r="M41" s="227"/>
    </row>
    <row r="42" spans="2:13">
      <c r="B42" s="70"/>
      <c r="C42" s="118"/>
      <c r="D42" s="88" t="str">
        <f>'Load Group Allocations'!D301</f>
        <v>Total</v>
      </c>
      <c r="E42" s="88">
        <f ca="1">'Load Group Allocations'!E301</f>
        <v>121792.56500000002</v>
      </c>
      <c r="F42" s="70"/>
      <c r="G42" s="70"/>
      <c r="H42" s="88">
        <f ca="1">'Load Group Allocations'!H301</f>
        <v>64925.020149976575</v>
      </c>
      <c r="I42" s="88">
        <f ca="1">'Load Group Allocations'!I301</f>
        <v>34378.126649545979</v>
      </c>
      <c r="J42" s="88">
        <f ca="1">'Load Group Allocations'!J301</f>
        <v>22388.634848012476</v>
      </c>
      <c r="K42" s="88">
        <f ca="1">'Load Group Allocations'!K301</f>
        <v>100.78335246498634</v>
      </c>
    </row>
    <row r="43" spans="2:13">
      <c r="B43" s="70"/>
      <c r="C43" s="118"/>
      <c r="D43" s="70"/>
      <c r="E43" s="70"/>
      <c r="F43" s="70"/>
      <c r="G43" s="70"/>
    </row>
    <row r="44" spans="2:13">
      <c r="B44" s="70"/>
      <c r="C44" s="118"/>
      <c r="D44" s="70"/>
      <c r="E44" s="70"/>
      <c r="F44" s="70"/>
      <c r="G44" s="70"/>
      <c r="H44" s="70"/>
      <c r="I44" s="70"/>
      <c r="J44" s="70"/>
      <c r="K44" s="70"/>
    </row>
    <row r="45" spans="2:13">
      <c r="C45" s="72" t="str">
        <f>'Load Group Allocations'!B304</f>
        <v>Error check</v>
      </c>
      <c r="D45" s="70"/>
      <c r="E45" s="70"/>
      <c r="F45" s="70"/>
      <c r="G45" s="70"/>
      <c r="H45" s="70"/>
      <c r="I45" s="70"/>
      <c r="J45" s="70"/>
      <c r="K45" s="70"/>
    </row>
    <row r="46" spans="2:13">
      <c r="C46" s="83">
        <f ca="1">IF(ROUND((SUM(E14:K42)),2)=ROUND((SUM('Load Group Allocations'!E273:K302)),2),0,1)</f>
        <v>0</v>
      </c>
      <c r="D46" s="70"/>
      <c r="E46" s="70"/>
      <c r="F46" s="70"/>
      <c r="G46" s="70"/>
      <c r="H46" s="70"/>
      <c r="I46" s="70"/>
      <c r="J46" s="70"/>
      <c r="K46" s="70"/>
    </row>
    <row r="47" spans="2:13">
      <c r="F47" s="228"/>
    </row>
    <row r="50" spans="1:1">
      <c r="A50" s="217"/>
    </row>
    <row r="51" spans="1:1">
      <c r="A51" s="217"/>
    </row>
    <row r="52" spans="1:1">
      <c r="A52" s="217"/>
    </row>
    <row r="53" spans="1:1">
      <c r="A53" s="217"/>
    </row>
    <row r="54" spans="1:1">
      <c r="A54" s="217"/>
    </row>
    <row r="55" spans="1:1">
      <c r="A55" s="211"/>
    </row>
    <row r="93" spans="1:1">
      <c r="A93" s="217"/>
    </row>
    <row r="94" spans="1:1">
      <c r="A94" s="217"/>
    </row>
    <row r="95" spans="1:1">
      <c r="A95" s="217"/>
    </row>
    <row r="96" spans="1:1">
      <c r="A96" s="217"/>
    </row>
    <row r="97" spans="1:1">
      <c r="A97" s="217"/>
    </row>
    <row r="98" spans="1:1">
      <c r="A98" s="211"/>
    </row>
    <row r="136" spans="1:1">
      <c r="A136" s="217"/>
    </row>
    <row r="137" spans="1:1">
      <c r="A137" s="217"/>
    </row>
    <row r="138" spans="1:1">
      <c r="A138" s="217"/>
    </row>
    <row r="139" spans="1:1">
      <c r="A139" s="217"/>
    </row>
    <row r="140" spans="1:1">
      <c r="A140" s="217"/>
    </row>
    <row r="141" spans="1:1">
      <c r="A141" s="211"/>
    </row>
    <row r="179" spans="1:1">
      <c r="A179" s="217"/>
    </row>
    <row r="180" spans="1:1">
      <c r="A180" s="217"/>
    </row>
    <row r="181" spans="1:1">
      <c r="A181" s="217"/>
    </row>
    <row r="182" spans="1:1">
      <c r="A182" s="217"/>
    </row>
    <row r="183" spans="1:1">
      <c r="A183" s="217"/>
    </row>
    <row r="184" spans="1:1">
      <c r="A184" s="211"/>
    </row>
    <row r="222" spans="1:1">
      <c r="A222" s="217"/>
    </row>
    <row r="223" spans="1:1">
      <c r="A223" s="217"/>
    </row>
    <row r="224" spans="1:1">
      <c r="A224" s="217"/>
    </row>
    <row r="225" spans="1:1">
      <c r="A225" s="217"/>
    </row>
    <row r="226" spans="1:1">
      <c r="A226" s="217"/>
    </row>
    <row r="227" spans="1:1">
      <c r="A227" s="211"/>
    </row>
    <row r="265" spans="1:1">
      <c r="A265" s="217"/>
    </row>
    <row r="266" spans="1:1">
      <c r="A266" s="217"/>
    </row>
    <row r="267" spans="1:1">
      <c r="A267" s="217"/>
    </row>
    <row r="268" spans="1:1">
      <c r="A268" s="217"/>
    </row>
    <row r="269" spans="1:1">
      <c r="A269" s="217"/>
    </row>
    <row r="271" spans="1:1">
      <c r="A271" s="211"/>
    </row>
    <row r="282" spans="1:1">
      <c r="A282" s="211"/>
    </row>
    <row r="293" spans="1:1">
      <c r="A293" s="211"/>
    </row>
  </sheetData>
  <sheetProtection algorithmName="SHA-512" hashValue="41G6YyGYWJeRCOtKQRsrw7YVCQ/UhkkXKd4Tvsj6AiNdLevbEZiQ/7IYnioR/1QkAjM+EK0T8iRuwas82CT0/g==" saltValue="U7dNGOxwc5DOOVSvdCOskw==" spinCount="100000" sheet="1" objects="1" scenarios="1"/>
  <conditionalFormatting sqref="H14:H19">
    <cfRule type="cellIs" dxfId="22" priority="17" operator="lessThan">
      <formula>0</formula>
    </cfRule>
  </conditionalFormatting>
  <conditionalFormatting sqref="E14:E19">
    <cfRule type="cellIs" dxfId="21" priority="16" operator="lessThan">
      <formula>0</formula>
    </cfRule>
  </conditionalFormatting>
  <conditionalFormatting sqref="H25:H30">
    <cfRule type="cellIs" dxfId="20" priority="15" operator="lessThan">
      <formula>0</formula>
    </cfRule>
  </conditionalFormatting>
  <conditionalFormatting sqref="E25:E30">
    <cfRule type="cellIs" dxfId="19" priority="14" operator="lessThan">
      <formula>0</formula>
    </cfRule>
  </conditionalFormatting>
  <conditionalFormatting sqref="H36:H41">
    <cfRule type="cellIs" dxfId="18" priority="13" operator="lessThan">
      <formula>0</formula>
    </cfRule>
  </conditionalFormatting>
  <conditionalFormatting sqref="E36:E41">
    <cfRule type="cellIs" dxfId="17" priority="12" operator="lessThan">
      <formula>0</formula>
    </cfRule>
  </conditionalFormatting>
  <conditionalFormatting sqref="E22">
    <cfRule type="cellIs" dxfId="16" priority="10" stopIfTrue="1" operator="equal">
      <formula>0</formula>
    </cfRule>
    <cfRule type="cellIs" dxfId="15" priority="11" stopIfTrue="1" operator="notEqual">
      <formula>0</formula>
    </cfRule>
  </conditionalFormatting>
  <conditionalFormatting sqref="E33">
    <cfRule type="cellIs" dxfId="14" priority="8" stopIfTrue="1" operator="equal">
      <formula>0</formula>
    </cfRule>
    <cfRule type="cellIs" dxfId="13" priority="9" stopIfTrue="1" operator="notEqual">
      <formula>0</formula>
    </cfRule>
  </conditionalFormatting>
  <conditionalFormatting sqref="C46">
    <cfRule type="cellIs" dxfId="12" priority="4" stopIfTrue="1" operator="equal">
      <formula>0</formula>
    </cfRule>
    <cfRule type="cellIs" dxfId="11" priority="5" stopIfTrue="1" operator="notEqual">
      <formula>0</formula>
    </cfRule>
  </conditionalFormatting>
  <conditionalFormatting sqref="H14:K19">
    <cfRule type="cellIs" dxfId="10" priority="3" operator="lessThan">
      <formula>0</formula>
    </cfRule>
  </conditionalFormatting>
  <conditionalFormatting sqref="H25:K30">
    <cfRule type="cellIs" dxfId="9" priority="2" operator="lessThan">
      <formula>0</formula>
    </cfRule>
  </conditionalFormatting>
  <conditionalFormatting sqref="H36:K41">
    <cfRule type="cellIs" dxfId="8" priority="1" operator="lessThan">
      <formula>0</formula>
    </cfRule>
  </conditionalFormatting>
  <pageMargins left="0.70866141732283472" right="0.70866141732283472" top="0.74803149606299213" bottom="0.74803149606299213" header="0.31496062992125984" footer="0.31496062992125984"/>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0F34-2072-42F6-8A78-D8612AE3F234}">
  <sheetPr>
    <pageSetUpPr fitToPage="1"/>
  </sheetPr>
  <dimension ref="A1:AK292"/>
  <sheetViews>
    <sheetView showGridLines="0" workbookViewId="0">
      <selection activeCell="C12" sqref="C12"/>
    </sheetView>
  </sheetViews>
  <sheetFormatPr defaultRowHeight="12"/>
  <cols>
    <col min="1" max="1" width="2.7109375" style="13" customWidth="1"/>
    <col min="2" max="2" width="19.42578125" customWidth="1"/>
    <col min="3" max="3" width="66.85546875" customWidth="1"/>
    <col min="4" max="4" width="9.140625" bestFit="1" customWidth="1"/>
    <col min="5" max="5" width="8.7109375" bestFit="1" customWidth="1"/>
    <col min="6" max="6" width="19.42578125" customWidth="1"/>
    <col min="7" max="7" width="50.42578125" customWidth="1"/>
    <col min="8" max="8" width="7.42578125" bestFit="1" customWidth="1"/>
    <col min="9" max="9" width="11.140625" bestFit="1" customWidth="1"/>
    <col min="10" max="10" width="36.42578125" bestFit="1" customWidth="1"/>
    <col min="11" max="11" width="10.140625" bestFit="1" customWidth="1"/>
    <col min="12" max="12" width="9.140625" bestFit="1" customWidth="1"/>
    <col min="13" max="13" width="14.5703125" bestFit="1" customWidth="1"/>
    <col min="14" max="14" width="9.85546875" bestFit="1" customWidth="1"/>
    <col min="15" max="15" width="9.140625" bestFit="1" customWidth="1"/>
    <col min="16" max="16" width="4.85546875" customWidth="1"/>
    <col min="17" max="17" width="7.7109375" customWidth="1"/>
    <col min="18" max="18" width="4.85546875" customWidth="1"/>
    <col min="19" max="19" width="36.42578125" customWidth="1"/>
    <col min="20" max="24" width="14.5703125" bestFit="1" customWidth="1"/>
    <col min="25" max="25" width="4.85546875" customWidth="1"/>
    <col min="26" max="26" width="7.7109375" customWidth="1"/>
    <col min="27" max="27" width="4.85546875" customWidth="1"/>
    <col min="28" max="28" width="36.140625" bestFit="1" customWidth="1"/>
    <col min="29" max="29" width="6.5703125" customWidth="1"/>
    <col min="30" max="33" width="6.5703125" bestFit="1" customWidth="1"/>
    <col min="34" max="34" width="5.42578125" bestFit="1" customWidth="1"/>
    <col min="35" max="35" width="12.42578125" customWidth="1"/>
    <col min="36" max="36" width="4.85546875" customWidth="1"/>
    <col min="37" max="37" width="7.7109375" customWidth="1"/>
  </cols>
  <sheetData>
    <row r="1" spans="1:37">
      <c r="B1" s="2"/>
      <c r="C1" s="11"/>
      <c r="D1" s="2"/>
      <c r="E1" s="2"/>
      <c r="F1" s="2"/>
      <c r="G1" s="2"/>
      <c r="H1" s="2"/>
      <c r="I1" s="2"/>
      <c r="J1" s="2"/>
    </row>
    <row r="2" spans="1:37" ht="15.75">
      <c r="B2" s="3" t="str">
        <f ca="1">MID(CELL("filename",A1),FIND("]",CELL("filename",A1))+1,255)</f>
        <v>Pricing Methodology Tables</v>
      </c>
      <c r="C2" s="11"/>
      <c r="D2" s="2"/>
      <c r="E2" s="2"/>
      <c r="F2" s="2"/>
      <c r="G2" s="2"/>
      <c r="H2" s="2"/>
      <c r="I2" s="2"/>
      <c r="J2" s="2"/>
    </row>
    <row r="3" spans="1:37">
      <c r="B3" s="9" t="s">
        <v>60</v>
      </c>
      <c r="C3" s="5"/>
      <c r="D3" s="10"/>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c r="B4" s="2"/>
      <c r="C4" s="11"/>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c r="B5" s="79" t="s">
        <v>210</v>
      </c>
      <c r="C5" s="11"/>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c r="B7" s="8"/>
      <c r="C7" s="12"/>
      <c r="D7" s="4"/>
      <c r="E7" s="4"/>
      <c r="F7" s="4"/>
      <c r="G7" s="4"/>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B8" s="2"/>
      <c r="C8" s="11"/>
      <c r="D8" s="2"/>
      <c r="E8" s="2"/>
      <c r="F8" s="2"/>
      <c r="G8" s="2"/>
      <c r="H8" s="2"/>
      <c r="I8" s="2"/>
      <c r="J8" s="2"/>
    </row>
    <row r="9" spans="1:37">
      <c r="A9" s="15"/>
    </row>
    <row r="10" spans="1:37" ht="12.75" thickBot="1">
      <c r="C10" s="17" t="s">
        <v>211</v>
      </c>
      <c r="G10" s="17" t="s">
        <v>212</v>
      </c>
      <c r="J10" s="17" t="s">
        <v>213</v>
      </c>
      <c r="S10" s="17" t="s">
        <v>214</v>
      </c>
      <c r="AB10" s="17" t="s">
        <v>215</v>
      </c>
    </row>
    <row r="11" spans="1:37" ht="15.75" thickBot="1">
      <c r="C11" s="18"/>
      <c r="D11" s="19" t="str">
        <f>'Name labels'!$E$10</f>
        <v>RY23</v>
      </c>
      <c r="E11" s="19" t="str">
        <f>'Name labels'!$D$10</f>
        <v>RY22</v>
      </c>
      <c r="G11" s="18"/>
      <c r="H11" s="19" t="str">
        <f>D11</f>
        <v>RY23</v>
      </c>
      <c r="J11" s="254" t="s">
        <v>216</v>
      </c>
      <c r="K11" s="256" t="s">
        <v>217</v>
      </c>
      <c r="L11" s="256"/>
      <c r="M11" s="256"/>
      <c r="N11" s="256"/>
      <c r="O11" s="256"/>
      <c r="S11" s="40" t="s">
        <v>218</v>
      </c>
      <c r="T11" s="42" t="s">
        <v>85</v>
      </c>
      <c r="U11" s="42" t="s">
        <v>219</v>
      </c>
      <c r="V11" s="42" t="s">
        <v>91</v>
      </c>
      <c r="W11" s="42" t="s">
        <v>93</v>
      </c>
      <c r="X11" s="42" t="s">
        <v>7</v>
      </c>
      <c r="AB11" s="46"/>
      <c r="AC11" s="256" t="s">
        <v>220</v>
      </c>
      <c r="AD11" s="256"/>
      <c r="AE11" s="256"/>
      <c r="AF11" s="256"/>
      <c r="AG11" s="256"/>
      <c r="AH11" s="256"/>
      <c r="AI11" s="257" t="s">
        <v>7</v>
      </c>
    </row>
    <row r="12" spans="1:37" ht="15.75" thickBot="1">
      <c r="C12" s="20" t="str">
        <f>'Name labels'!C62</f>
        <v>Capital related costs</v>
      </c>
      <c r="D12" s="21"/>
      <c r="E12" s="21"/>
      <c r="G12" s="22" t="str">
        <f>CONCATENATE("Forecast Revenue Deferred from ",E11)</f>
        <v>Forecast Revenue Deferred from RY22</v>
      </c>
      <c r="H12" s="27">
        <f ca="1">-E38</f>
        <v>10.772759724435204</v>
      </c>
      <c r="J12" s="255"/>
      <c r="K12" s="35" t="s">
        <v>85</v>
      </c>
      <c r="L12" s="35" t="s">
        <v>219</v>
      </c>
      <c r="M12" s="35" t="s">
        <v>91</v>
      </c>
      <c r="N12" s="35" t="s">
        <v>93</v>
      </c>
      <c r="O12" s="35" t="s">
        <v>7</v>
      </c>
      <c r="S12" s="33" t="str">
        <f>'Name labels'!C62</f>
        <v>Capital related costs</v>
      </c>
      <c r="T12" s="43">
        <f ca="1">(SUMIF('Pricing Area Allocations'!$C$30:$K$54,$S12,'Pricing Area Allocations'!H$30:H$54))/1000</f>
        <v>18.535639821661086</v>
      </c>
      <c r="U12" s="43">
        <f ca="1">(SUMIF('Pricing Area Allocations'!$C$30:$K$54,$S12,'Pricing Area Allocations'!I$30:I$54))/1000</f>
        <v>13.073607918169044</v>
      </c>
      <c r="V12" s="43">
        <f ca="1">(SUMIF('Pricing Area Allocations'!$C$30:$K$54,$S12,'Pricing Area Allocations'!J$30:J$54))/1000</f>
        <v>7.9364397447788795</v>
      </c>
      <c r="W12" s="43">
        <f ca="1">(SUMIF('Pricing Area Allocations'!$C$30:$K$54,$S12,'Pricing Area Allocations'!K$30:K$54))/1000</f>
        <v>3.429816218271757E-2</v>
      </c>
      <c r="X12" s="44">
        <f ca="1">SUM(T12:W12)</f>
        <v>39.579985646791727</v>
      </c>
      <c r="AB12" s="45" t="s">
        <v>222</v>
      </c>
      <c r="AC12" s="32" t="s">
        <v>223</v>
      </c>
      <c r="AD12" s="32" t="s">
        <v>224</v>
      </c>
      <c r="AE12" s="32" t="s">
        <v>225</v>
      </c>
      <c r="AF12" s="32" t="s">
        <v>226</v>
      </c>
      <c r="AG12" s="32" t="s">
        <v>227</v>
      </c>
      <c r="AH12" s="32" t="s">
        <v>228</v>
      </c>
      <c r="AI12" s="255"/>
    </row>
    <row r="13" spans="1:37" ht="15.75" thickBot="1">
      <c r="C13" s="20"/>
      <c r="D13" s="21"/>
      <c r="E13" s="21"/>
      <c r="G13" s="31" t="str">
        <f>CONCATENATE("Forecast Revenue Deferred from ",D11)</f>
        <v>Forecast Revenue Deferred from RY23</v>
      </c>
      <c r="H13" s="29">
        <f ca="1">-D38</f>
        <v>17.239267999999981</v>
      </c>
      <c r="J13" s="68"/>
      <c r="K13" s="69"/>
      <c r="L13" s="69"/>
      <c r="M13" s="69"/>
      <c r="N13" s="69"/>
      <c r="O13" s="69"/>
      <c r="S13" s="33"/>
      <c r="T13" s="43"/>
      <c r="U13" s="43"/>
      <c r="V13" s="43"/>
      <c r="W13" s="43"/>
      <c r="X13" s="44"/>
      <c r="AB13" s="41" t="s">
        <v>85</v>
      </c>
      <c r="AC13" s="36"/>
      <c r="AD13" s="36"/>
      <c r="AE13" s="36"/>
      <c r="AF13" s="36"/>
      <c r="AG13" s="36"/>
      <c r="AH13" s="36"/>
      <c r="AI13" s="37"/>
    </row>
    <row r="14" spans="1:37" ht="15.75" thickBot="1">
      <c r="C14" s="22" t="str">
        <f>'Name labels'!B25</f>
        <v>Asset revaluations and other regulatory revenue</v>
      </c>
      <c r="D14" s="27">
        <f ca="1">SUMIF('Target Revenue'!$B$17:$I$44,$C14,'Target Revenue'!$I$17:$I$44)/1000</f>
        <v>-12.497676999999999</v>
      </c>
      <c r="E14" s="27">
        <f ca="1">SUMIF('Target Revenue'!$B$17:$I$44,$C14,'Target Revenue'!$H$17:$H$44)/1000</f>
        <v>-11.143138</v>
      </c>
      <c r="F14" s="49"/>
      <c r="G14" s="25" t="s">
        <v>229</v>
      </c>
      <c r="H14" s="30">
        <f ca="1">SUM(H12:H13)</f>
        <v>28.012027724435185</v>
      </c>
      <c r="J14" s="33" t="str">
        <f>'Pricing Area Allocations'!B14</f>
        <v>ICP Count</v>
      </c>
      <c r="K14" s="36">
        <f>'Pricing Area Allocations'!H14</f>
        <v>0.61090246205881704</v>
      </c>
      <c r="L14" s="36">
        <f>'Pricing Area Allocations'!I14</f>
        <v>0.23451055324943446</v>
      </c>
      <c r="M14" s="36">
        <f>'Pricing Area Allocations'!J14</f>
        <v>0.15308251520941776</v>
      </c>
      <c r="N14" s="36">
        <f>'Pricing Area Allocations'!K14</f>
        <v>1.5044694823307197E-3</v>
      </c>
      <c r="O14" s="37">
        <f>SUM(K14:N14)</f>
        <v>1</v>
      </c>
      <c r="P14" s="37"/>
      <c r="Q14" s="6">
        <f t="shared" ref="Q14:Q21" si="0">IF(O14=1,0,1)</f>
        <v>0</v>
      </c>
      <c r="R14" s="37"/>
      <c r="S14" s="33" t="str">
        <f>'Name labels'!C63</f>
        <v>Operational costs</v>
      </c>
      <c r="T14" s="43">
        <f ca="1">(SUMIF('Pricing Area Allocations'!$C$30:$K$54,$S14,'Pricing Area Allocations'!H$30:H$54))/1000</f>
        <v>23.396987112201128</v>
      </c>
      <c r="U14" s="43">
        <f ca="1">(SUMIF('Pricing Area Allocations'!$C$30:$K$54,$S14,'Pricing Area Allocations'!I$30:I$54))/1000</f>
        <v>13.357562801423644</v>
      </c>
      <c r="V14" s="43">
        <f ca="1">(SUMIF('Pricing Area Allocations'!$C$30:$K$54,$S14,'Pricing Area Allocations'!J$30:J$54))/1000</f>
        <v>6.5443256759734947</v>
      </c>
      <c r="W14" s="43">
        <f ca="1">(SUMIF('Pricing Area Allocations'!$C$30:$K$54,$S14,'Pricing Area Allocations'!K$30:K$54))/1000</f>
        <v>5.3111828362696456E-2</v>
      </c>
      <c r="X14" s="44">
        <f t="shared" ref="X14:X15" ca="1" si="1">SUM(T14:W14)</f>
        <v>43.351987417960963</v>
      </c>
      <c r="Y14" s="37"/>
      <c r="AA14" s="37"/>
      <c r="AB14" s="33" t="str">
        <f>'Load Group Allocations'!B16</f>
        <v>ICP Count</v>
      </c>
      <c r="AC14" s="36">
        <f>'Allocator Data'!$I$26</f>
        <v>3.5951824555096173E-5</v>
      </c>
      <c r="AD14" s="36">
        <f>'Allocator Data'!$I$27</f>
        <v>0.93913356102822221</v>
      </c>
      <c r="AE14" s="36">
        <f>'Allocator Data'!$I$28</f>
        <v>5.5923063095452093E-2</v>
      </c>
      <c r="AF14" s="36">
        <f>'Allocator Data'!$I$29</f>
        <v>3.4513751572892324E-3</v>
      </c>
      <c r="AG14" s="36">
        <f>'Allocator Data'!$I$30</f>
        <v>1.3302175085385583E-3</v>
      </c>
      <c r="AH14" s="36">
        <f>'Allocator Data'!$I$31</f>
        <v>1.258313859428366E-4</v>
      </c>
      <c r="AI14" s="37">
        <f>SUM(AC14:AH14)</f>
        <v>1</v>
      </c>
      <c r="AK14" s="6">
        <f>IF(AI14=1,0,1)</f>
        <v>0</v>
      </c>
    </row>
    <row r="15" spans="1:37" ht="15">
      <c r="C15" s="22" t="str">
        <f>'Name labels'!B24</f>
        <v>Depreciation</v>
      </c>
      <c r="D15" s="27">
        <f ca="1">SUMIF('Target Revenue'!$B$17:$I$44,$C15,'Target Revenue'!$I$17:$I$44)/1000</f>
        <v>20.186475999999999</v>
      </c>
      <c r="E15" s="27">
        <f ca="1">SUMIF('Target Revenue'!$B$17:$I$44,$C15,'Target Revenue'!$H$17:$H$44)/1000</f>
        <v>20.692197</v>
      </c>
      <c r="F15" s="49"/>
      <c r="J15" s="33" t="str">
        <f>'Pricing Area Allocations'!B15</f>
        <v>Total Circuit Length</v>
      </c>
      <c r="K15" s="36">
        <f>'Pricing Area Allocations'!H15</f>
        <v>0.38678785911378022</v>
      </c>
      <c r="L15" s="36">
        <f>'Pricing Area Allocations'!I15</f>
        <v>0.4486284694043175</v>
      </c>
      <c r="M15" s="36">
        <f>'Pricing Area Allocations'!J15</f>
        <v>0.16360980360331115</v>
      </c>
      <c r="N15" s="36">
        <f>'Pricing Area Allocations'!K15</f>
        <v>9.7386787859113778E-4</v>
      </c>
      <c r="O15" s="37">
        <f t="shared" ref="O15:O21" si="2">SUM(K15:N15)</f>
        <v>1</v>
      </c>
      <c r="P15" s="37"/>
      <c r="Q15" s="6">
        <f t="shared" si="0"/>
        <v>0</v>
      </c>
      <c r="R15" s="37"/>
      <c r="S15" s="33" t="str">
        <f>'Name labels'!C64</f>
        <v>Passthrough and recoverable costs</v>
      </c>
      <c r="T15" s="43">
        <f ca="1">(SUMIF('Pricing Area Allocations'!$C$30:$K$54,$S15,'Pricing Area Allocations'!H$30:H$54))/1000</f>
        <v>22.992393216114358</v>
      </c>
      <c r="U15" s="43">
        <f ca="1">(SUMIF('Pricing Area Allocations'!$C$30:$K$54,$S15,'Pricing Area Allocations'!I$30:I$54))/1000</f>
        <v>7.9469559299532895</v>
      </c>
      <c r="V15" s="43">
        <f ca="1">(SUMIF('Pricing Area Allocations'!$C$30:$K$54,$S15,'Pricing Area Allocations'!J$30:J$54))/1000</f>
        <v>7.9078694272601009</v>
      </c>
      <c r="W15" s="43">
        <f ca="1">(SUMIF('Pricing Area Allocations'!$C$30:$K$54,$S15,'Pricing Area Allocations'!K$30:K$54))/1000</f>
        <v>1.3373361919572297E-2</v>
      </c>
      <c r="X15" s="44">
        <f t="shared" ca="1" si="1"/>
        <v>38.860591935247321</v>
      </c>
      <c r="Y15" s="37"/>
      <c r="AA15" s="37"/>
      <c r="AB15" s="33" t="str">
        <f>'Load Group Allocations'!B17</f>
        <v>CPD</v>
      </c>
      <c r="AC15" s="36">
        <f>'Allocator Data'!$I$66</f>
        <v>3.2015780848731841E-3</v>
      </c>
      <c r="AD15" s="36">
        <f>'Allocator Data'!$I$67</f>
        <v>0.63455612010654472</v>
      </c>
      <c r="AE15" s="36">
        <f>'Allocator Data'!$I$68</f>
        <v>0.14516923716117536</v>
      </c>
      <c r="AF15" s="36">
        <f>'Allocator Data'!$I$69</f>
        <v>8.7460708544873131E-2</v>
      </c>
      <c r="AG15" s="36">
        <f>'Allocator Data'!$I$70</f>
        <v>9.2655026566951584E-2</v>
      </c>
      <c r="AH15" s="36">
        <f>'Allocator Data'!$I$71</f>
        <v>3.6957329535581875E-2</v>
      </c>
      <c r="AI15" s="37">
        <f t="shared" ref="AI15:AI18" si="3">SUM(AC15:AH15)</f>
        <v>0.99999999999999978</v>
      </c>
      <c r="AK15" s="6">
        <f t="shared" ref="AK15:AK19" si="4">IF(AI15=1,0,1)</f>
        <v>0</v>
      </c>
    </row>
    <row r="16" spans="1:37" ht="15.75" customHeight="1">
      <c r="C16" s="22" t="str">
        <f>'Name labels'!B27</f>
        <v>Return on capital</v>
      </c>
      <c r="D16" s="27">
        <f ca="1">SUMIF('Target Revenue'!$B$17:$I$44,$C16,'Target Revenue'!$I$17:$I$44)/1000</f>
        <v>34.193222999999996</v>
      </c>
      <c r="E16" s="27">
        <f ca="1">SUMIF('Target Revenue'!$B$17:$I$44,$C16,'Target Revenue'!$H$17:$H$44)/1000</f>
        <v>35.396273000000001</v>
      </c>
      <c r="F16" s="49"/>
      <c r="G16" s="26"/>
      <c r="J16" s="33" t="str">
        <f>'Pricing Area Allocations'!B16</f>
        <v>Overhead Circuit Length</v>
      </c>
      <c r="K16" s="36">
        <f>'Pricing Area Allocations'!H16</f>
        <v>0.43915069911962712</v>
      </c>
      <c r="L16" s="36">
        <f>'Pricing Area Allocations'!I16</f>
        <v>0.45390989124805803</v>
      </c>
      <c r="M16" s="36">
        <f>'Pricing Area Allocations'!J16</f>
        <v>0.10693940963231487</v>
      </c>
      <c r="N16" s="36">
        <f>'Pricing Area Allocations'!K16</f>
        <v>0</v>
      </c>
      <c r="O16" s="37">
        <f t="shared" si="2"/>
        <v>1</v>
      </c>
      <c r="P16" s="37"/>
      <c r="Q16" s="6">
        <f t="shared" si="0"/>
        <v>0</v>
      </c>
      <c r="R16" s="37"/>
      <c r="S16" s="41" t="s">
        <v>230</v>
      </c>
      <c r="T16" s="44">
        <f ca="1">SUM(T12:T15)</f>
        <v>64.925020149976575</v>
      </c>
      <c r="U16" s="44">
        <f t="shared" ref="U16:X16" ca="1" si="5">SUM(U12:U15)</f>
        <v>34.378126649545976</v>
      </c>
      <c r="V16" s="44">
        <f t="shared" ca="1" si="5"/>
        <v>22.388634848012472</v>
      </c>
      <c r="W16" s="44">
        <f t="shared" ca="1" si="5"/>
        <v>0.10078335246498632</v>
      </c>
      <c r="X16" s="44">
        <f t="shared" ca="1" si="5"/>
        <v>121.79256500000002</v>
      </c>
      <c r="Y16" s="37"/>
      <c r="AA16" s="37"/>
      <c r="AB16" s="33" t="str">
        <f>'Load Group Allocations'!B18</f>
        <v>Prior year distribution revenue</v>
      </c>
      <c r="AC16" s="36">
        <f>'Allocator Data'!$I$114</f>
        <v>9.6378130524840885E-3</v>
      </c>
      <c r="AD16" s="36">
        <f>'Allocator Data'!$I$115</f>
        <v>0.66929508412709304</v>
      </c>
      <c r="AE16" s="36">
        <f>'Allocator Data'!$I$116</f>
        <v>0.16975839089580699</v>
      </c>
      <c r="AF16" s="36">
        <f>'Allocator Data'!$I$117</f>
        <v>7.8549834872905164E-2</v>
      </c>
      <c r="AG16" s="36">
        <f>'Allocator Data'!$I$118</f>
        <v>5.7174459290860222E-2</v>
      </c>
      <c r="AH16" s="36">
        <f>'Allocator Data'!$I$119</f>
        <v>1.5584417760850507E-2</v>
      </c>
      <c r="AI16" s="37">
        <f t="shared" si="3"/>
        <v>1</v>
      </c>
      <c r="AK16" s="6">
        <f t="shared" si="4"/>
        <v>0</v>
      </c>
    </row>
    <row r="17" spans="3:37" ht="15.75" thickBot="1">
      <c r="C17" s="22" t="str">
        <f>'Name labels'!B26</f>
        <v>Tax</v>
      </c>
      <c r="D17" s="27">
        <f ca="1">SUMIF('Target Revenue'!$B$17:$I$44,$C17,'Target Revenue'!$I$17:$I$44)/1000</f>
        <v>5.6815559999999996</v>
      </c>
      <c r="E17" s="27">
        <f ca="1">SUMIF('Target Revenue'!$B$17:$I$44,$C17,'Target Revenue'!$H$17:$H$44)/1000</f>
        <v>5.3039719999999999</v>
      </c>
      <c r="F17" s="49"/>
      <c r="H17" s="26"/>
      <c r="J17" s="33" t="str">
        <f>'Name labels'!B43</f>
        <v>Transmission costs and ACOT</v>
      </c>
      <c r="K17" s="36">
        <f>SUM('Pricing Area Allocations'!H47:H50)/SUM('Pricing Area Allocations'!$E47:$E50)</f>
        <v>0.62690426426316304</v>
      </c>
      <c r="L17" s="36">
        <f>SUM('Pricing Area Allocations'!I47:I50)/SUM('Pricing Area Allocations'!$E47:$E50)</f>
        <v>0.15530711957172072</v>
      </c>
      <c r="M17" s="36">
        <f>SUM('Pricing Area Allocations'!J47:J50)/SUM('Pricing Area Allocations'!$E47:$E50)</f>
        <v>0.21778861616511622</v>
      </c>
      <c r="N17" s="36">
        <f>SUM('Pricing Area Allocations'!K47:K50)/SUM('Pricing Area Allocations'!$E47:$E50)</f>
        <v>0</v>
      </c>
      <c r="O17" s="37">
        <f t="shared" si="2"/>
        <v>1</v>
      </c>
      <c r="P17" s="37"/>
      <c r="Q17" s="6">
        <f t="shared" si="0"/>
        <v>0</v>
      </c>
      <c r="R17" s="37"/>
      <c r="S17" s="34" t="s">
        <v>231</v>
      </c>
      <c r="T17" s="39">
        <f ca="1">T16/$X$16</f>
        <v>0.53307868300480055</v>
      </c>
      <c r="U17" s="39">
        <f t="shared" ref="U17:W17" ca="1" si="6">U16/$X$16</f>
        <v>0.28226785969690327</v>
      </c>
      <c r="V17" s="39">
        <f t="shared" ca="1" si="6"/>
        <v>0.1838259572578381</v>
      </c>
      <c r="W17" s="39">
        <f t="shared" ca="1" si="6"/>
        <v>8.2750004045802224E-4</v>
      </c>
      <c r="X17" s="38">
        <f ca="1">SUM(T17:W17)</f>
        <v>1</v>
      </c>
      <c r="Y17" s="37"/>
      <c r="AA17" s="37"/>
      <c r="AB17" s="33" t="str">
        <f>'Load Group Allocations'!B19</f>
        <v>MWh</v>
      </c>
      <c r="AC17" s="36">
        <f>'Allocator Data'!$I$138</f>
        <v>7.9168602069306978E-3</v>
      </c>
      <c r="AD17" s="36">
        <f>'Allocator Data'!$I$139</f>
        <v>0.54918432349383139</v>
      </c>
      <c r="AE17" s="36">
        <f>'Allocator Data'!$I$140</f>
        <v>0.1610437902925308</v>
      </c>
      <c r="AF17" s="36">
        <f>'Allocator Data'!$I$141</f>
        <v>9.7605545375195876E-2</v>
      </c>
      <c r="AG17" s="36">
        <f>'Allocator Data'!$I$142</f>
        <v>0.1245297609628862</v>
      </c>
      <c r="AH17" s="36">
        <f>'Allocator Data'!$I$143</f>
        <v>5.9719719668625042E-2</v>
      </c>
      <c r="AI17" s="37">
        <f t="shared" si="3"/>
        <v>1</v>
      </c>
      <c r="AK17" s="6">
        <f t="shared" si="4"/>
        <v>0</v>
      </c>
    </row>
    <row r="18" spans="3:37" ht="15">
      <c r="C18" s="20" t="str">
        <f>'Name labels'!C63</f>
        <v>Operational costs</v>
      </c>
      <c r="D18" s="27"/>
      <c r="E18" s="27"/>
      <c r="F18" s="49"/>
      <c r="J18" s="48" t="str">
        <f>'Pricing Area Allocations'!B21</f>
        <v>Prior year distribution revenue</v>
      </c>
      <c r="K18" s="36">
        <f>'Pricing Area Allocations'!H21</f>
        <v>0.49457492449108159</v>
      </c>
      <c r="L18" s="36">
        <f>'Pricing Area Allocations'!I21</f>
        <v>0.33702460111603216</v>
      </c>
      <c r="M18" s="36">
        <f>'Pricing Area Allocations'!J21</f>
        <v>0.16715734998723777</v>
      </c>
      <c r="N18" s="36">
        <f>'Pricing Area Allocations'!K21</f>
        <v>1.2431244056484063E-3</v>
      </c>
      <c r="O18" s="37">
        <f t="shared" si="2"/>
        <v>1</v>
      </c>
      <c r="P18" s="37"/>
      <c r="Q18" s="6">
        <f t="shared" si="0"/>
        <v>0</v>
      </c>
      <c r="R18" s="37"/>
      <c r="Y18" s="37"/>
      <c r="AA18" s="37"/>
      <c r="AB18" s="33" t="str">
        <f>'Load Group Allocations'!B20</f>
        <v>Regulated Asset Base</v>
      </c>
      <c r="AC18" s="36">
        <f>'RAB Allocations'!$I$27</f>
        <v>2.503423964177028E-3</v>
      </c>
      <c r="AD18" s="36">
        <f>'RAB Allocations'!$I$28</f>
        <v>0.49618124424188281</v>
      </c>
      <c r="AE18" s="36">
        <f>'RAB Allocations'!$I$29</f>
        <v>0.11351281697225263</v>
      </c>
      <c r="AF18" s="36">
        <f>'RAB Allocations'!$I$30</f>
        <v>0.15624915406653925</v>
      </c>
      <c r="AG18" s="36">
        <f>'RAB Allocations'!$I$31</f>
        <v>0.16552883874329818</v>
      </c>
      <c r="AH18" s="36">
        <f>'RAB Allocations'!$I$32</f>
        <v>6.6024522011850231E-2</v>
      </c>
      <c r="AI18" s="37">
        <f t="shared" si="3"/>
        <v>1.0000000000000002</v>
      </c>
      <c r="AK18" s="6">
        <f t="shared" si="4"/>
        <v>0</v>
      </c>
    </row>
    <row r="19" spans="3:37" ht="15.75" thickBot="1">
      <c r="C19" s="22" t="str">
        <f>'Name labels'!B23</f>
        <v>Business support</v>
      </c>
      <c r="D19" s="27">
        <f ca="1">SUMIF('Target Revenue'!$B$17:$I$44,$C19,'Target Revenue'!$I$17:$I$44)/1000</f>
        <v>15.900848</v>
      </c>
      <c r="E19" s="27">
        <f ca="1">SUMIF('Target Revenue'!$B$17:$I$44,$C19,'Target Revenue'!$H$17:$H$44)/1000</f>
        <v>15.784379000000001</v>
      </c>
      <c r="F19" s="49"/>
      <c r="J19" s="48" t="str">
        <f>'Pricing Area Allocations'!B22</f>
        <v>MWh</v>
      </c>
      <c r="K19" s="36">
        <f>'Pricing Area Allocations'!H22</f>
        <v>0.60263063184996291</v>
      </c>
      <c r="L19" s="36">
        <f>'Pricing Area Allocations'!I22</f>
        <v>0.21949795904556543</v>
      </c>
      <c r="M19" s="36">
        <f>'Pricing Area Allocations'!J22</f>
        <v>0.17724389636196411</v>
      </c>
      <c r="N19" s="36">
        <f>'Pricing Area Allocations'!K22</f>
        <v>6.2751274250752865E-4</v>
      </c>
      <c r="O19" s="37">
        <f>SUM(K17:N17)</f>
        <v>1</v>
      </c>
      <c r="P19" s="37"/>
      <c r="Q19" s="6">
        <f t="shared" si="0"/>
        <v>0</v>
      </c>
      <c r="R19" s="37"/>
      <c r="Y19" s="37"/>
      <c r="AA19" s="37"/>
      <c r="AB19" s="34" t="str">
        <f>'Load Group Allocations'!B21</f>
        <v>Regulated Asset Base (Depreciation)</v>
      </c>
      <c r="AC19" s="39">
        <f>'RAB - Depreciation Allocations'!$I$27</f>
        <v>2.4710656366115405E-3</v>
      </c>
      <c r="AD19" s="39">
        <f>'RAB - Depreciation Allocations'!$I$28</f>
        <v>0.48976778992380521</v>
      </c>
      <c r="AE19" s="39">
        <f>'RAB - Depreciation Allocations'!$I$29</f>
        <v>0.11204559249608327</v>
      </c>
      <c r="AF19" s="39">
        <f>'RAB - Depreciation Allocations'!$I$30</f>
        <v>0.15943738856509276</v>
      </c>
      <c r="AG19" s="39">
        <f>'RAB - Depreciation Allocations'!$I$31</f>
        <v>0.16890642345625057</v>
      </c>
      <c r="AH19" s="39">
        <f>'RAB - Depreciation Allocations'!$I$32</f>
        <v>6.7371739922156768E-2</v>
      </c>
      <c r="AI19" s="38">
        <f>SUM(AC19:AH19)</f>
        <v>1</v>
      </c>
      <c r="AK19" s="6">
        <f t="shared" si="4"/>
        <v>0</v>
      </c>
    </row>
    <row r="20" spans="3:37" ht="15.75" customHeight="1">
      <c r="C20" s="22" t="str">
        <f>'Name labels'!B21</f>
        <v>Routine and corrective maintenance and inspection</v>
      </c>
      <c r="D20" s="27">
        <f ca="1">SUMIF('Target Revenue'!$B$17:$I$44,$C20,'Target Revenue'!$I$17:$I$44)/1000</f>
        <v>10.11734</v>
      </c>
      <c r="E20" s="27">
        <f ca="1">SUMIF('Target Revenue'!$B$17:$I$44,$C20,'Target Revenue'!$H$17:$H$44)/1000</f>
        <v>10.536993000000001</v>
      </c>
      <c r="F20" s="49"/>
      <c r="J20" s="48" t="str">
        <f>'Pricing Area Allocations'!B23</f>
        <v>Regulated Asset Base</v>
      </c>
      <c r="K20" s="36">
        <f>'Pricing Area Allocations'!H23</f>
        <v>0.46899912370660241</v>
      </c>
      <c r="L20" s="36">
        <f>'Pricing Area Allocations'!I23</f>
        <v>0.33321288103091307</v>
      </c>
      <c r="M20" s="36">
        <f>'Pricing Area Allocations'!J23</f>
        <v>0.19688311466230976</v>
      </c>
      <c r="N20" s="36">
        <f>'Pricing Area Allocations'!K23</f>
        <v>9.0488060017488348E-4</v>
      </c>
      <c r="O20" s="37">
        <f t="shared" si="2"/>
        <v>1</v>
      </c>
      <c r="P20" s="37"/>
      <c r="Q20" s="6">
        <f t="shared" si="0"/>
        <v>0</v>
      </c>
      <c r="R20" s="37"/>
      <c r="Y20" s="37"/>
      <c r="AA20" s="37"/>
      <c r="AB20" s="41" t="s">
        <v>235</v>
      </c>
      <c r="AC20" s="36"/>
      <c r="AD20" s="36"/>
      <c r="AE20" s="36"/>
      <c r="AF20" s="36"/>
      <c r="AG20" s="36"/>
      <c r="AH20" s="36"/>
      <c r="AI20" s="37"/>
    </row>
    <row r="21" spans="3:37" ht="15" customHeight="1" thickBot="1">
      <c r="C21" s="22" t="str">
        <f>'Name labels'!B19</f>
        <v>Service interruptions and emergencies</v>
      </c>
      <c r="D21" s="27">
        <f ca="1">SUMIF('Target Revenue'!$B$17:$I$44,$C21,'Target Revenue'!$I$17:$I$44)/1000</f>
        <v>4.812964</v>
      </c>
      <c r="E21" s="27">
        <f ca="1">SUMIF('Target Revenue'!$B$17:$I$44,$C21,'Target Revenue'!$H$17:$H$44)/1000</f>
        <v>4.778073</v>
      </c>
      <c r="F21" s="49"/>
      <c r="J21" s="24" t="str">
        <f>'Pricing Area Allocations'!B24</f>
        <v>Regulated Asset Base (Depreciation)</v>
      </c>
      <c r="K21" s="39">
        <f>'Pricing Area Allocations'!H24</f>
        <v>0.46737163780432778</v>
      </c>
      <c r="L21" s="39">
        <f>'Pricing Area Allocations'!I24</f>
        <v>0.32636968190533577</v>
      </c>
      <c r="M21" s="39">
        <f>'Pricing Area Allocations'!J24</f>
        <v>0.20544410715799694</v>
      </c>
      <c r="N21" s="39">
        <f>'Pricing Area Allocations'!K24</f>
        <v>8.1457313233947192E-4</v>
      </c>
      <c r="O21" s="38">
        <f t="shared" si="2"/>
        <v>1</v>
      </c>
      <c r="P21" s="47"/>
      <c r="Q21" s="6">
        <f t="shared" si="0"/>
        <v>0</v>
      </c>
      <c r="R21" s="47"/>
      <c r="Y21" s="47"/>
      <c r="AA21" s="47"/>
      <c r="AB21" s="33" t="str">
        <f>AB14</f>
        <v>ICP Count</v>
      </c>
      <c r="AC21" s="36">
        <f>'Allocator Data'!$J$26</f>
        <v>2.3413720440177945E-4</v>
      </c>
      <c r="AD21" s="36">
        <f>'Allocator Data'!$J$27</f>
        <v>0.90105361741980805</v>
      </c>
      <c r="AE21" s="36">
        <f>'Allocator Data'!$J$28</f>
        <v>9.0423788339967226E-2</v>
      </c>
      <c r="AF21" s="36">
        <f>'Allocator Data'!$J$29</f>
        <v>6.4621868414891127E-3</v>
      </c>
      <c r="AG21" s="36">
        <f>'Allocator Data'!$J$30</f>
        <v>1.7794427534535238E-3</v>
      </c>
      <c r="AH21" s="36">
        <f>'Allocator Data'!$J$31</f>
        <v>4.6827440880355889E-5</v>
      </c>
      <c r="AI21" s="37">
        <f>SUM(AC21:AH21)</f>
        <v>1</v>
      </c>
    </row>
    <row r="22" spans="3:37" ht="15">
      <c r="C22" s="22" t="str">
        <f>'Name labels'!B22</f>
        <v>System operations and network support</v>
      </c>
      <c r="D22" s="27">
        <f ca="1">SUMIF('Target Revenue'!$B$17:$I$44,$C22,'Target Revenue'!$I$17:$I$44)/1000</f>
        <v>16.009318999999998</v>
      </c>
      <c r="E22" s="27">
        <f ca="1">SUMIF('Target Revenue'!$B$17:$I$44,$C22,'Target Revenue'!$H$17:$H$44)/1000</f>
        <v>16.737323</v>
      </c>
      <c r="F22" s="49"/>
      <c r="AB22" s="33" t="str">
        <f t="shared" ref="AB22:AB26" si="7">AB15</f>
        <v>CPD</v>
      </c>
      <c r="AC22" s="36">
        <f>'Allocator Data'!$J$66</f>
        <v>4.8461040790235086E-3</v>
      </c>
      <c r="AD22" s="36">
        <f>'Allocator Data'!$J$67</f>
        <v>0.68207637992465542</v>
      </c>
      <c r="AE22" s="36">
        <f>'Allocator Data'!$J$68</f>
        <v>0.1662170361221256</v>
      </c>
      <c r="AF22" s="36">
        <f>'Allocator Data'!$J$69</f>
        <v>6.9908649932051994E-2</v>
      </c>
      <c r="AG22" s="36">
        <f>'Allocator Data'!$J$70</f>
        <v>7.5384701107901617E-2</v>
      </c>
      <c r="AH22" s="36">
        <f>'Allocator Data'!$J$71</f>
        <v>1.5671288342418723E-3</v>
      </c>
      <c r="AI22" s="37">
        <f t="shared" ref="AI22:AI25" si="8">SUM(AC22:AH22)</f>
        <v>1</v>
      </c>
    </row>
    <row r="23" spans="3:37" ht="15">
      <c r="C23" s="22" t="str">
        <f>'Name labels'!B20</f>
        <v>Vegetation management</v>
      </c>
      <c r="D23" s="27">
        <f ca="1">SUMIF('Target Revenue'!$B$17:$I$44,$C23,'Target Revenue'!$I$17:$I$44)/1000</f>
        <v>5.2559509999999996</v>
      </c>
      <c r="E23" s="27">
        <f ca="1">SUMIF('Target Revenue'!$B$17:$I$44,$C23,'Target Revenue'!$H$17:$H$44)/1000</f>
        <v>5.5769279999999997</v>
      </c>
      <c r="F23" s="49"/>
      <c r="AB23" s="33" t="str">
        <f t="shared" si="7"/>
        <v>Prior year distribution revenue</v>
      </c>
      <c r="AC23" s="36">
        <f>'Allocator Data'!$J$114</f>
        <v>4.1378958961364948E-3</v>
      </c>
      <c r="AD23" s="36">
        <f>'Allocator Data'!$J$115</f>
        <v>0.66339235592639545</v>
      </c>
      <c r="AE23" s="36">
        <f>'Allocator Data'!$J$116</f>
        <v>0.17333820037954972</v>
      </c>
      <c r="AF23" s="36">
        <f>'Allocator Data'!$J$117</f>
        <v>8.8453771017623029E-2</v>
      </c>
      <c r="AG23" s="36">
        <f>'Allocator Data'!$J$118</f>
        <v>6.5376794783916434E-2</v>
      </c>
      <c r="AH23" s="36">
        <f>'Allocator Data'!$J$119</f>
        <v>5.3009819963789669E-3</v>
      </c>
      <c r="AI23" s="37">
        <f t="shared" si="8"/>
        <v>1.0000000000000002</v>
      </c>
    </row>
    <row r="24" spans="3:37" ht="15">
      <c r="C24" s="20" t="str">
        <f>'Name labels'!C64</f>
        <v>Passthrough and recoverable costs</v>
      </c>
      <c r="D24" s="27"/>
      <c r="E24" s="27"/>
      <c r="F24" s="49"/>
      <c r="AB24" s="33" t="str">
        <f t="shared" si="7"/>
        <v>MWh</v>
      </c>
      <c r="AC24" s="36">
        <f>'Allocator Data'!$J$138</f>
        <v>4.1551489161928187E-3</v>
      </c>
      <c r="AD24" s="36">
        <f>'Allocator Data'!$J$139</f>
        <v>0.47227857015229707</v>
      </c>
      <c r="AE24" s="36">
        <f>'Allocator Data'!$J$140</f>
        <v>0.24561274432520872</v>
      </c>
      <c r="AF24" s="36">
        <f>'Allocator Data'!$J$141</f>
        <v>0.13874203392086998</v>
      </c>
      <c r="AG24" s="36">
        <f>'Allocator Data'!$J$142</f>
        <v>0.10896580235365012</v>
      </c>
      <c r="AH24" s="36">
        <f>'Allocator Data'!$J$143</f>
        <v>3.0245700331781283E-2</v>
      </c>
      <c r="AI24" s="37">
        <f t="shared" si="8"/>
        <v>1</v>
      </c>
    </row>
    <row r="25" spans="3:37" ht="15">
      <c r="C25" s="22" t="str">
        <f>'Name labels'!B33</f>
        <v>Capex Incentive Amount</v>
      </c>
      <c r="D25" s="27">
        <f ca="1">SUMIF('Target Revenue'!$B$17:$I$44,$C25,'Target Revenue'!$I$17:$I$44)/1000</f>
        <v>-1.4929459999999999</v>
      </c>
      <c r="E25" s="27">
        <f ca="1">SUMIF('Target Revenue'!$B$17:$I$44,$C25,'Target Revenue'!$H$17:$H$44)/1000</f>
        <v>-1.4505889999999999</v>
      </c>
      <c r="F25" s="49"/>
      <c r="U25" s="49"/>
      <c r="AB25" s="33" t="str">
        <f t="shared" si="7"/>
        <v>Regulated Asset Base</v>
      </c>
      <c r="AC25" s="36">
        <f>'RAB Allocations'!$J$27</f>
        <v>3.0764266436981401E-3</v>
      </c>
      <c r="AD25" s="36">
        <f>'RAB Allocations'!$J$28</f>
        <v>0.43299894389808591</v>
      </c>
      <c r="AE25" s="36">
        <f>'RAB Allocations'!$J$29</f>
        <v>0.10551868268286994</v>
      </c>
      <c r="AF25" s="36">
        <f>'RAB Allocations'!$J$30</f>
        <v>0.21821078677763017</v>
      </c>
      <c r="AG25" s="36">
        <f>'RAB Allocations'!$J$31</f>
        <v>0.23530357052725395</v>
      </c>
      <c r="AH25" s="36">
        <f>'RAB Allocations'!$J$32</f>
        <v>4.8915894704618544E-3</v>
      </c>
      <c r="AI25" s="37">
        <f t="shared" si="8"/>
        <v>0.99999999999999989</v>
      </c>
    </row>
    <row r="26" spans="3:37" ht="15.75" thickBot="1">
      <c r="C26" s="22" t="str">
        <f>'Name labels'!B40</f>
        <v>Capex Wash-up Adjustment</v>
      </c>
      <c r="D26" s="27">
        <f ca="1">SUMIF('Target Revenue'!$B$17:$I$44,$C26,'Target Revenue'!$I$17:$I$44)/1000</f>
        <v>-0.78497299999999992</v>
      </c>
      <c r="E26" s="27">
        <f ca="1">SUMIF('Target Revenue'!$B$17:$I$44,$C26,'Target Revenue'!$H$17:$H$44)/1000</f>
        <v>0</v>
      </c>
      <c r="F26" s="49"/>
      <c r="AB26" s="34" t="str">
        <f t="shared" si="7"/>
        <v>Regulated Asset Base (Depreciation)</v>
      </c>
      <c r="AC26" s="39">
        <f>'RAB - Depreciation Allocations'!$J$27</f>
        <v>2.8944896169958091E-3</v>
      </c>
      <c r="AD26" s="39">
        <f>'RAB - Depreciation Allocations'!$J$28</f>
        <v>0.40739178678304794</v>
      </c>
      <c r="AE26" s="39">
        <f>'RAB - Depreciation Allocations'!$J$29</f>
        <v>9.9278405370165801E-2</v>
      </c>
      <c r="AF26" s="39">
        <f>'RAB - Depreciation Allocations'!$J$30</f>
        <v>0.23345743528695356</v>
      </c>
      <c r="AG26" s="39">
        <f>'RAB - Depreciation Allocations'!$J$31</f>
        <v>0.2517445122689369</v>
      </c>
      <c r="AH26" s="39">
        <f>'RAB - Depreciation Allocations'!$J$32</f>
        <v>5.2333706738999812E-3</v>
      </c>
      <c r="AI26" s="38">
        <f>SUM(AC26:AH26)</f>
        <v>1</v>
      </c>
    </row>
    <row r="27" spans="3:37" ht="15">
      <c r="C27" s="22" t="str">
        <f>'Name labels'!B29</f>
        <v>Commerce Act levies</v>
      </c>
      <c r="D27" s="27">
        <f ca="1">SUMIF('Target Revenue'!$B$17:$I$44,$C27,'Target Revenue'!$I$17:$I$44)/1000</f>
        <v>0.284443</v>
      </c>
      <c r="E27" s="27">
        <f ca="1">SUMIF('Target Revenue'!$B$17:$I$44,$C27,'Target Revenue'!$H$17:$H$44)/1000</f>
        <v>0.36957999999999996</v>
      </c>
      <c r="F27" s="49"/>
      <c r="AB27" s="41" t="s">
        <v>91</v>
      </c>
      <c r="AC27" s="36"/>
      <c r="AD27" s="36"/>
      <c r="AE27" s="36"/>
      <c r="AF27" s="36"/>
      <c r="AG27" s="36"/>
      <c r="AH27" s="36"/>
      <c r="AI27" s="37"/>
    </row>
    <row r="28" spans="3:37" ht="15">
      <c r="C28" s="22" t="str">
        <f>'Name labels'!B38</f>
        <v>CPP recoverable costs</v>
      </c>
      <c r="D28" s="27">
        <f ca="1">SUMIF('Target Revenue'!$B$17:$I$44,$C28,'Target Revenue'!$I$17:$I$44)/1000</f>
        <v>0</v>
      </c>
      <c r="E28" s="27">
        <f ca="1">SUMIF('Target Revenue'!$B$17:$I$44,$C28,'Target Revenue'!$H$17:$H$44)/1000</f>
        <v>2.5488439999999999</v>
      </c>
      <c r="F28" s="49"/>
      <c r="AB28" s="33" t="str">
        <f>AB21</f>
        <v>ICP Count</v>
      </c>
      <c r="AC28" s="36">
        <f>'Allocator Data'!$K$26</f>
        <v>3.586800573888092E-4</v>
      </c>
      <c r="AD28" s="36">
        <f>'Allocator Data'!$K$27</f>
        <v>0.87166427546628411</v>
      </c>
      <c r="AE28" s="36">
        <f>'Allocator Data'!$K$28</f>
        <v>0.12152080344332855</v>
      </c>
      <c r="AF28" s="36">
        <f>'Allocator Data'!$K$29</f>
        <v>4.4476327116212341E-3</v>
      </c>
      <c r="AG28" s="36">
        <f>'Allocator Data'!$K$30</f>
        <v>1.8651362984218078E-3</v>
      </c>
      <c r="AH28" s="36">
        <f>'Allocator Data'!$K$31</f>
        <v>1.4347202295552367E-4</v>
      </c>
      <c r="AI28" s="37">
        <f>SUM(AC28:AH28)</f>
        <v>1</v>
      </c>
    </row>
    <row r="29" spans="3:37" ht="15">
      <c r="C29" s="22" t="str">
        <f>'Name labels'!B30</f>
        <v>Electricity Authority levies</v>
      </c>
      <c r="D29" s="27">
        <f ca="1">SUMIF('Target Revenue'!$B$17:$I$44,$C29,'Target Revenue'!$I$17:$I$44)/1000</f>
        <v>0.283856</v>
      </c>
      <c r="E29" s="27">
        <f ca="1">SUMIF('Target Revenue'!$B$17:$I$44,$C29,'Target Revenue'!$H$17:$H$44)/1000</f>
        <v>0.29058299999999998</v>
      </c>
      <c r="F29" s="49"/>
      <c r="AB29" s="33" t="str">
        <f t="shared" ref="AB29:AB33" si="9">AB22</f>
        <v>CPD</v>
      </c>
      <c r="AC29" s="36">
        <f>'Allocator Data'!$K$66</f>
        <v>4.7204763939416496E-3</v>
      </c>
      <c r="AD29" s="36">
        <f>'Allocator Data'!$K$67</f>
        <v>0.61307697775134373</v>
      </c>
      <c r="AE29" s="36">
        <f>'Allocator Data'!$K$68</f>
        <v>0.20563156591878162</v>
      </c>
      <c r="AF29" s="36">
        <f>'Allocator Data'!$K$69</f>
        <v>6.753107973748991E-2</v>
      </c>
      <c r="AG29" s="36">
        <f>'Allocator Data'!$K$70</f>
        <v>0.10028193776454647</v>
      </c>
      <c r="AH29" s="36">
        <f>'Allocator Data'!$K$71</f>
        <v>8.7579624338965864E-3</v>
      </c>
      <c r="AI29" s="37">
        <f t="shared" ref="AI29:AI32" si="10">SUM(AC29:AH29)</f>
        <v>1</v>
      </c>
    </row>
    <row r="30" spans="3:37" ht="15">
      <c r="C30" s="22" t="str">
        <f>'Name labels'!B41</f>
        <v>Fire and Emergency Management New Zealand (FENZ) levies</v>
      </c>
      <c r="D30" s="27">
        <f ca="1">SUMIF('Target Revenue'!$B$17:$I$44,$C30,'Target Revenue'!$I$17:$I$44)/1000</f>
        <v>3.5546000000000001E-2</v>
      </c>
      <c r="E30" s="27">
        <f ca="1">SUMIF('Target Revenue'!$B$17:$I$44,$C30,'Target Revenue'!$H$17:$H$44)/1000</f>
        <v>3.8886000000000004E-2</v>
      </c>
      <c r="F30" s="49"/>
      <c r="AB30" s="33" t="str">
        <f t="shared" si="9"/>
        <v>Prior year distribution revenue</v>
      </c>
      <c r="AC30" s="36">
        <f>'Allocator Data'!$K$114</f>
        <v>3.449127649543908E-3</v>
      </c>
      <c r="AD30" s="36">
        <f>'Allocator Data'!$K$115</f>
        <v>0.60588474415737048</v>
      </c>
      <c r="AE30" s="36">
        <f>'Allocator Data'!$K$116</f>
        <v>0.22988591196655489</v>
      </c>
      <c r="AF30" s="36">
        <f>'Allocator Data'!$K$117</f>
        <v>8.4188360493216277E-2</v>
      </c>
      <c r="AG30" s="36">
        <f>'Allocator Data'!$K$118</f>
        <v>7.3902921214075892E-2</v>
      </c>
      <c r="AH30" s="36">
        <f>'Allocator Data'!$K$119</f>
        <v>2.6889345192385333E-3</v>
      </c>
      <c r="AI30" s="37">
        <f t="shared" si="10"/>
        <v>1</v>
      </c>
    </row>
    <row r="31" spans="3:37" ht="15">
      <c r="C31" s="22" t="str">
        <f>'Name labels'!B28</f>
        <v>Local Authority rates</v>
      </c>
      <c r="D31" s="27">
        <f ca="1">SUMIF('Target Revenue'!$B$17:$I$44,$C31,'Target Revenue'!$I$17:$I$44)/1000</f>
        <v>1.1350979999999999</v>
      </c>
      <c r="E31" s="27">
        <f ca="1">SUMIF('Target Revenue'!$B$17:$I$44,$C31,'Target Revenue'!$H$17:$H$44)/1000</f>
        <v>0.99485699999999999</v>
      </c>
      <c r="F31" s="49"/>
      <c r="AB31" s="33" t="str">
        <f t="shared" si="9"/>
        <v>MWh</v>
      </c>
      <c r="AC31" s="36">
        <f>'Allocator Data'!$K$138</f>
        <v>3.8744723038141643E-3</v>
      </c>
      <c r="AD31" s="36">
        <f>'Allocator Data'!$K$139</f>
        <v>0.46277599649431844</v>
      </c>
      <c r="AE31" s="36">
        <f>'Allocator Data'!$K$140</f>
        <v>0.25551125245679723</v>
      </c>
      <c r="AF31" s="36">
        <f>'Allocator Data'!$K$141</f>
        <v>8.8344910470620389E-2</v>
      </c>
      <c r="AG31" s="36">
        <f>'Allocator Data'!$K$142</f>
        <v>0.15292234134404706</v>
      </c>
      <c r="AH31" s="36">
        <f>'Allocator Data'!$K$143</f>
        <v>3.6571026930402678E-2</v>
      </c>
      <c r="AI31" s="37">
        <f t="shared" si="10"/>
        <v>1</v>
      </c>
    </row>
    <row r="32" spans="3:37" ht="15">
      <c r="C32" s="22" t="s">
        <v>221</v>
      </c>
      <c r="D32" s="27">
        <f>'Target Revenue'!I42/1000</f>
        <v>-1.286597</v>
      </c>
      <c r="E32" s="27">
        <f>'Target Revenue'!H42/1000</f>
        <v>0</v>
      </c>
      <c r="F32" s="49"/>
      <c r="AB32" s="33" t="str">
        <f t="shared" si="9"/>
        <v>Regulated Asset Base</v>
      </c>
      <c r="AC32" s="36">
        <f>'RAB Allocations'!$K$27</f>
        <v>3.2400414280602309E-3</v>
      </c>
      <c r="AD32" s="36">
        <f>'RAB Allocations'!$K$28</f>
        <v>0.42080388518703127</v>
      </c>
      <c r="AE32" s="36">
        <f>'RAB Allocations'!$K$29</f>
        <v>0.14114143084135208</v>
      </c>
      <c r="AF32" s="36">
        <f>'RAB Allocations'!$K$30</f>
        <v>0.16629857469948534</v>
      </c>
      <c r="AG32" s="36">
        <f>'RAB Allocations'!$K$31</f>
        <v>0.24694915856777677</v>
      </c>
      <c r="AH32" s="36">
        <f>'RAB Allocations'!$K$32</f>
        <v>2.1566909276294254E-2</v>
      </c>
      <c r="AI32" s="37">
        <f t="shared" si="10"/>
        <v>1</v>
      </c>
    </row>
    <row r="33" spans="3:35" ht="15.75" thickBot="1">
      <c r="C33" s="22" t="str">
        <f>'Name labels'!B32</f>
        <v>Opex Incentive Amount</v>
      </c>
      <c r="D33" s="27">
        <f ca="1">SUMIF('Target Revenue'!$B$17:$I$44,$C33,'Target Revenue'!$I$17:$I$44)/1000</f>
        <v>13.000602000000001</v>
      </c>
      <c r="E33" s="27">
        <f ca="1">SUMIF('Target Revenue'!$B$17:$I$44,$C33,'Target Revenue'!$H$17:$H$44)/1000</f>
        <v>-15.363403120000003</v>
      </c>
      <c r="F33" s="49"/>
      <c r="AB33" s="34" t="str">
        <f t="shared" si="9"/>
        <v>Regulated Asset Base (Depreciation)</v>
      </c>
      <c r="AC33" s="39">
        <f>'RAB - Depreciation Allocations'!$K$27</f>
        <v>3.2182672463211309E-3</v>
      </c>
      <c r="AD33" s="39">
        <f>'RAB - Depreciation Allocations'!$K$28</f>
        <v>0.41797593978076936</v>
      </c>
      <c r="AE33" s="39">
        <f>'RAB - Depreciation Allocations'!$K$29</f>
        <v>0.14019291236271772</v>
      </c>
      <c r="AF33" s="39">
        <f>'RAB - Depreciation Allocations'!$K$30</f>
        <v>0.1677512432967429</v>
      </c>
      <c r="AG33" s="39">
        <f>'RAB - Depreciation Allocations'!$K$31</f>
        <v>0.24910633452925954</v>
      </c>
      <c r="AH33" s="39">
        <f>'RAB - Depreciation Allocations'!$K$32</f>
        <v>2.1755302784189252E-2</v>
      </c>
      <c r="AI33" s="38">
        <f>SUM(AC33:AH33)</f>
        <v>0.99999999999999989</v>
      </c>
    </row>
    <row r="34" spans="3:35" ht="15">
      <c r="C34" s="22" t="str">
        <f>'Name labels'!B39</f>
        <v>Quality Incentive Adjustments</v>
      </c>
      <c r="D34" s="27">
        <f ca="1">SUMIF('Target Revenue'!$B$17:$I$44,$C34,'Target Revenue'!$I$17:$I$44)/1000</f>
        <v>-1.1764E-2</v>
      </c>
      <c r="E34" s="27">
        <f ca="1">SUMIF('Target Revenue'!$B$17:$I$44,$C34,'Target Revenue'!$H$17:$H$44)/1000</f>
        <v>-0.6139403155648</v>
      </c>
      <c r="F34" s="49"/>
      <c r="AB34" s="41" t="s">
        <v>93</v>
      </c>
      <c r="AC34" s="36"/>
      <c r="AD34" s="36"/>
      <c r="AE34" s="36"/>
      <c r="AF34" s="36"/>
      <c r="AG34" s="36"/>
      <c r="AH34" s="36"/>
      <c r="AI34" s="37"/>
    </row>
    <row r="35" spans="3:35" ht="15">
      <c r="C35" s="22" t="str">
        <f>'Name labels'!B43</f>
        <v>Transmission costs and ACOT</v>
      </c>
      <c r="D35" s="27">
        <f ca="1">SUMIF('Target Revenue'!$B$17:$I$44,$C35,'Target Revenue'!$I$17:$I$44)/1000</f>
        <v>28.135387000000001</v>
      </c>
      <c r="E35" s="27">
        <f ca="1">SUMIF('Target Revenue'!$B$17:$I$44,$C35,'Target Revenue'!$H$17:$H$44)/1000</f>
        <v>27.345018159999999</v>
      </c>
      <c r="F35" s="49"/>
      <c r="AB35" s="33" t="str">
        <f>AB28</f>
        <v>ICP Count</v>
      </c>
      <c r="AC35" s="36">
        <f>'Allocator Data'!$L$26</f>
        <v>7.2992700729927005E-3</v>
      </c>
      <c r="AD35" s="36">
        <f>'Allocator Data'!$L$27</f>
        <v>0.97080291970802923</v>
      </c>
      <c r="AE35" s="36">
        <f>'Allocator Data'!$L$28</f>
        <v>2.1897810218978103E-2</v>
      </c>
      <c r="AF35" s="36">
        <f>'Allocator Data'!$L$29</f>
        <v>0</v>
      </c>
      <c r="AG35" s="36">
        <f>'Allocator Data'!$L$30</f>
        <v>0</v>
      </c>
      <c r="AH35" s="36">
        <f>'Allocator Data'!$L$31</f>
        <v>0</v>
      </c>
      <c r="AI35" s="37">
        <f>SUM(AC35:AH35)</f>
        <v>1</v>
      </c>
    </row>
    <row r="36" spans="3:35" ht="15">
      <c r="C36" s="22" t="str">
        <f>'Name labels'!B31</f>
        <v>Utilities Disputes levies</v>
      </c>
      <c r="D36" s="27">
        <f ca="1">SUMIF('Target Revenue'!$B$17:$I$44,$C36,'Target Revenue'!$I$17:$I$44)/1000</f>
        <v>7.3180999999999996E-2</v>
      </c>
      <c r="E36" s="27">
        <f ca="1">SUMIF('Target Revenue'!$B$17:$I$44,$C36,'Target Revenue'!$H$17:$H$44)/1000</f>
        <v>6.1721999999999999E-2</v>
      </c>
      <c r="F36" s="49"/>
      <c r="AB36" s="33" t="str">
        <f t="shared" ref="AB36:AB40" si="11">AB29</f>
        <v>CPD</v>
      </c>
      <c r="AC36" s="36">
        <f>'Allocator Data'!$L$66</f>
        <v>0.71784519552428183</v>
      </c>
      <c r="AD36" s="36">
        <f>'Allocator Data'!$L$67</f>
        <v>0.27581035874956755</v>
      </c>
      <c r="AE36" s="36">
        <f>'Allocator Data'!$L$68</f>
        <v>6.3444457261506507E-3</v>
      </c>
      <c r="AF36" s="36">
        <f>'Allocator Data'!$L$69</f>
        <v>0</v>
      </c>
      <c r="AG36" s="36">
        <f>'Allocator Data'!$L$70</f>
        <v>0</v>
      </c>
      <c r="AH36" s="36">
        <f>'Allocator Data'!$L$71</f>
        <v>0</v>
      </c>
      <c r="AI36" s="37">
        <f t="shared" ref="AI36:AI39" si="12">SUM(AC36:AH36)</f>
        <v>1</v>
      </c>
    </row>
    <row r="37" spans="3:35" ht="15.75" customHeight="1">
      <c r="C37" s="23" t="s">
        <v>234</v>
      </c>
      <c r="D37" s="28">
        <f ca="1">SUM(D14:D36)</f>
        <v>139.03183299999998</v>
      </c>
      <c r="E37" s="28">
        <f ca="1">SUM(E14:E36)</f>
        <v>117.8845577244352</v>
      </c>
      <c r="AB37" s="33" t="str">
        <f t="shared" si="11"/>
        <v>Prior year distribution revenue</v>
      </c>
      <c r="AC37" s="36">
        <f>'Allocator Data'!$L$114</f>
        <v>1.5286072578182491E-2</v>
      </c>
      <c r="AD37" s="36">
        <f>'Allocator Data'!$L$115</f>
        <v>0.94462772268305994</v>
      </c>
      <c r="AE37" s="36">
        <f>'Allocator Data'!$L$116</f>
        <v>4.008620473875759E-2</v>
      </c>
      <c r="AF37" s="36">
        <f>'Allocator Data'!$L$117</f>
        <v>0</v>
      </c>
      <c r="AG37" s="36">
        <f>'Allocator Data'!$L$118</f>
        <v>0</v>
      </c>
      <c r="AH37" s="36">
        <f>'Allocator Data'!$L$119</f>
        <v>0</v>
      </c>
      <c r="AI37" s="37">
        <f t="shared" si="12"/>
        <v>1</v>
      </c>
    </row>
    <row r="38" spans="3:35" ht="15.75" thickBot="1">
      <c r="C38" s="31" t="s">
        <v>232</v>
      </c>
      <c r="D38" s="29">
        <f ca="1">D39-D37</f>
        <v>-17.239267999999981</v>
      </c>
      <c r="E38" s="29">
        <f ca="1">E39-E37</f>
        <v>-10.772759724435204</v>
      </c>
      <c r="AB38" s="33" t="str">
        <f t="shared" si="11"/>
        <v>MWh</v>
      </c>
      <c r="AC38" s="36">
        <f>'Allocator Data'!$L$138</f>
        <v>9.8039215686274508E-3</v>
      </c>
      <c r="AD38" s="36">
        <f>'Allocator Data'!$L$139</f>
        <v>0.94607843137254899</v>
      </c>
      <c r="AE38" s="36">
        <f>'Allocator Data'!$L$140</f>
        <v>4.4117647058823532E-2</v>
      </c>
      <c r="AF38" s="36">
        <f>'Allocator Data'!$L$141</f>
        <v>0</v>
      </c>
      <c r="AG38" s="36">
        <f>'Allocator Data'!$L$142</f>
        <v>0</v>
      </c>
      <c r="AH38" s="36">
        <f>'Allocator Data'!$L$143</f>
        <v>0</v>
      </c>
      <c r="AI38" s="37">
        <f t="shared" si="12"/>
        <v>0.99999999999999989</v>
      </c>
    </row>
    <row r="39" spans="3:35" ht="15.75" thickBot="1">
      <c r="C39" s="25" t="s">
        <v>66</v>
      </c>
      <c r="D39" s="30">
        <f ca="1">'Target Revenue'!I44/1000</f>
        <v>121.792565</v>
      </c>
      <c r="E39" s="30">
        <f>'Target Revenue'!H44/1000</f>
        <v>107.11179799999999</v>
      </c>
      <c r="AB39" s="33" t="str">
        <f t="shared" si="11"/>
        <v>Regulated Asset Base</v>
      </c>
      <c r="AC39" s="36">
        <f>'RAB Allocations'!$L$27</f>
        <v>0.71784519552428172</v>
      </c>
      <c r="AD39" s="36">
        <f>'RAB Allocations'!$L$28</f>
        <v>0.27581035874956755</v>
      </c>
      <c r="AE39" s="36">
        <f>'RAB Allocations'!$L$29</f>
        <v>6.3444457261506498E-3</v>
      </c>
      <c r="AF39" s="36">
        <f>'RAB Allocations'!$L$30</f>
        <v>0</v>
      </c>
      <c r="AG39" s="36">
        <f>'RAB Allocations'!$L$31</f>
        <v>0</v>
      </c>
      <c r="AH39" s="36">
        <f>'RAB Allocations'!$L$32</f>
        <v>0</v>
      </c>
      <c r="AI39" s="37">
        <f t="shared" si="12"/>
        <v>0.99999999999999989</v>
      </c>
    </row>
    <row r="40" spans="3:35" ht="15.75" thickBot="1">
      <c r="AB40" s="34" t="str">
        <f t="shared" si="11"/>
        <v>Regulated Asset Base (Depreciation)</v>
      </c>
      <c r="AC40" s="39">
        <f>'RAB - Depreciation Allocations'!$L$27</f>
        <v>0.71784519552428183</v>
      </c>
      <c r="AD40" s="39">
        <f>'RAB - Depreciation Allocations'!$L$28</f>
        <v>0.27581035874956755</v>
      </c>
      <c r="AE40" s="39">
        <f>'RAB - Depreciation Allocations'!$L$29</f>
        <v>6.3444457261506507E-3</v>
      </c>
      <c r="AF40" s="39">
        <f>'RAB - Depreciation Allocations'!$L$30</f>
        <v>0</v>
      </c>
      <c r="AG40" s="39">
        <f>'RAB - Depreciation Allocations'!$L$31</f>
        <v>0</v>
      </c>
      <c r="AH40" s="39">
        <f>'RAB - Depreciation Allocations'!$L$32</f>
        <v>0</v>
      </c>
      <c r="AI40" s="38">
        <f>SUM(AC40:AH40)</f>
        <v>1</v>
      </c>
    </row>
    <row r="41" spans="3:35" ht="12.75">
      <c r="C41" s="26"/>
      <c r="D41" s="6">
        <f ca="1">IF((D37*1000)=('Target Revenue'!I43),0,1)</f>
        <v>0</v>
      </c>
    </row>
    <row r="42" spans="3:35">
      <c r="D42" s="6">
        <f ca="1">IF((D39*1000)='Target Revenue'!I44,0,1)</f>
        <v>0</v>
      </c>
    </row>
    <row r="46" spans="3:35">
      <c r="C46" s="8" t="s">
        <v>199</v>
      </c>
    </row>
    <row r="47" spans="3:35">
      <c r="C47" s="6">
        <f ca="1">IF(SUM(D41:D42,Q14:Q21,X19:X20,AK14:AK19,Z15)&gt;0.0001,1,0)</f>
        <v>0</v>
      </c>
    </row>
    <row r="49" spans="1:1">
      <c r="A49" s="14"/>
    </row>
    <row r="50" spans="1:1">
      <c r="A50" s="14"/>
    </row>
    <row r="51" spans="1:1">
      <c r="A51" s="14"/>
    </row>
    <row r="52" spans="1:1">
      <c r="A52" s="14"/>
    </row>
    <row r="53" spans="1:1">
      <c r="A53" s="14"/>
    </row>
    <row r="54" spans="1:1">
      <c r="A54" s="15"/>
    </row>
    <row r="92" spans="1:1">
      <c r="A92" s="14"/>
    </row>
    <row r="93" spans="1:1">
      <c r="A93" s="14"/>
    </row>
    <row r="94" spans="1:1">
      <c r="A94" s="14"/>
    </row>
    <row r="95" spans="1:1">
      <c r="A95" s="14"/>
    </row>
    <row r="96" spans="1:1">
      <c r="A96" s="14"/>
    </row>
    <row r="97" spans="1:1">
      <c r="A97" s="15"/>
    </row>
    <row r="135" spans="1:1">
      <c r="A135" s="14"/>
    </row>
    <row r="136" spans="1:1">
      <c r="A136" s="14"/>
    </row>
    <row r="137" spans="1:1">
      <c r="A137" s="14"/>
    </row>
    <row r="138" spans="1:1">
      <c r="A138" s="14"/>
    </row>
    <row r="139" spans="1:1">
      <c r="A139" s="14"/>
    </row>
    <row r="140" spans="1:1">
      <c r="A140" s="15"/>
    </row>
    <row r="178" spans="1:1">
      <c r="A178" s="14"/>
    </row>
    <row r="179" spans="1:1">
      <c r="A179" s="14"/>
    </row>
    <row r="180" spans="1:1">
      <c r="A180" s="14"/>
    </row>
    <row r="181" spans="1:1">
      <c r="A181" s="14"/>
    </row>
    <row r="182" spans="1:1">
      <c r="A182" s="14"/>
    </row>
    <row r="183" spans="1:1">
      <c r="A183" s="15"/>
    </row>
    <row r="221" spans="1:1">
      <c r="A221" s="14"/>
    </row>
    <row r="222" spans="1:1">
      <c r="A222" s="14"/>
    </row>
    <row r="223" spans="1:1">
      <c r="A223" s="14"/>
    </row>
    <row r="224" spans="1:1">
      <c r="A224" s="14"/>
    </row>
    <row r="225" spans="1:1">
      <c r="A225" s="14"/>
    </row>
    <row r="226" spans="1:1">
      <c r="A226" s="15"/>
    </row>
    <row r="264" spans="1:1">
      <c r="A264" s="14"/>
    </row>
    <row r="265" spans="1:1">
      <c r="A265" s="14"/>
    </row>
    <row r="266" spans="1:1">
      <c r="A266" s="14"/>
    </row>
    <row r="267" spans="1:1">
      <c r="A267" s="14"/>
    </row>
    <row r="268" spans="1:1">
      <c r="A268" s="14"/>
    </row>
    <row r="270" spans="1:1">
      <c r="A270" s="15"/>
    </row>
    <row r="281" spans="1:1">
      <c r="A281" s="15"/>
    </row>
    <row r="292" spans="1:1">
      <c r="A292" s="15"/>
    </row>
  </sheetData>
  <sheetProtection algorithmName="SHA-512" hashValue="ETz49nheQGHA/h7ewfXlt1M7hrj/L1Hd++ztWsp88UTFmXAfhGM0WFQuP0Q2eb1pp4gIod+lqyv4UPjf6uWYDQ==" saltValue="fxVDP1oIJpilt0+4mgflwA==" spinCount="100000" sheet="1" objects="1" scenarios="1"/>
  <sortState xmlns:xlrd2="http://schemas.microsoft.com/office/spreadsheetml/2017/richdata2" ref="C25:E36">
    <sortCondition ref="C25:C36"/>
  </sortState>
  <mergeCells count="4">
    <mergeCell ref="J11:J12"/>
    <mergeCell ref="K11:O11"/>
    <mergeCell ref="AI11:AI12"/>
    <mergeCell ref="AC11:AH11"/>
  </mergeCells>
  <conditionalFormatting sqref="D41:D42">
    <cfRule type="cellIs" dxfId="7" priority="15" stopIfTrue="1" operator="equal">
      <formula>0</formula>
    </cfRule>
    <cfRule type="cellIs" dxfId="6" priority="16" stopIfTrue="1" operator="notEqual">
      <formula>0</formula>
    </cfRule>
  </conditionalFormatting>
  <conditionalFormatting sqref="Q14:Q21">
    <cfRule type="cellIs" dxfId="5" priority="13" stopIfTrue="1" operator="equal">
      <formula>0</formula>
    </cfRule>
    <cfRule type="cellIs" dxfId="4" priority="14" stopIfTrue="1" operator="notEqual">
      <formula>0</formula>
    </cfRule>
  </conditionalFormatting>
  <conditionalFormatting sqref="AK14:AK19">
    <cfRule type="cellIs" dxfId="3" priority="9" stopIfTrue="1" operator="equal">
      <formula>0</formula>
    </cfRule>
    <cfRule type="cellIs" dxfId="2" priority="10" stopIfTrue="1" operator="notEqual">
      <formula>0</formula>
    </cfRule>
  </conditionalFormatting>
  <conditionalFormatting sqref="C47">
    <cfRule type="cellIs" dxfId="1" priority="7" stopIfTrue="1" operator="equal">
      <formula>0</formula>
    </cfRule>
    <cfRule type="cellIs" dxfId="0" priority="8" stopIfTrue="1" operator="notEqual">
      <formula>0</formula>
    </cfRule>
  </conditionalFormatting>
  <pageMargins left="0.70866141732283472" right="0.70866141732283472" top="0.74803149606299213" bottom="0.74803149606299213" header="0.31496062992125984" footer="0.31496062992125984"/>
  <pageSetup paperSize="8"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Category xmlns="f9fff812-fb3b-4077-80ad-6f96a082549d"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8D1C6E9BDD0C248A5123B98F7A7EF73" ma:contentTypeVersion="12" ma:contentTypeDescription="Create a new document." ma:contentTypeScope="" ma:versionID="e21d92d49d2d1fbe6f4b0dc3bd0bbb2b">
  <xsd:schema xmlns:xsd="http://www.w3.org/2001/XMLSchema" xmlns:xs="http://www.w3.org/2001/XMLSchema" xmlns:p="http://schemas.microsoft.com/office/2006/metadata/properties" xmlns:ns2="f9fff812-fb3b-4077-80ad-6f96a082549d" xmlns:ns3="54035f38-61e2-4bce-93cc-23d79b3f2615" targetNamespace="http://schemas.microsoft.com/office/2006/metadata/properties" ma:root="true" ma:fieldsID="c30758cce8487b1c4c7db33afef1f080" ns2:_="" ns3:_="">
    <xsd:import namespace="f9fff812-fb3b-4077-80ad-6f96a082549d"/>
    <xsd:import namespace="54035f38-61e2-4bce-93cc-23d79b3f2615"/>
    <xsd:element name="properties">
      <xsd:complexType>
        <xsd:sequence>
          <xsd:element name="documentManagement">
            <xsd:complexType>
              <xsd:all>
                <xsd:element ref="ns2:DocumentCategory"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ff812-fb3b-4077-80ad-6f96a082549d" elementFormDefault="qualified">
    <xsd:import namespace="http://schemas.microsoft.com/office/2006/documentManagement/types"/>
    <xsd:import namespace="http://schemas.microsoft.com/office/infopath/2007/PartnerControls"/>
    <xsd:element name="DocumentCategory" ma:index="4" nillable="true" ma:displayName="Document Category" ma:internalName="DocumentCategory"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035f38-61e2-4bce-93cc-23d79b3f26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240D14-4A5D-44DE-94FA-FF2B981460C9}">
  <ds:schemaRefs>
    <ds:schemaRef ds:uri="http://schemas.microsoft.com/sharepoint/v3/contenttype/forms"/>
  </ds:schemaRefs>
</ds:datastoreItem>
</file>

<file path=customXml/itemProps2.xml><?xml version="1.0" encoding="utf-8"?>
<ds:datastoreItem xmlns:ds="http://schemas.openxmlformats.org/officeDocument/2006/customXml" ds:itemID="{0386583F-3239-4B4A-AB28-2A55BCC8AD06}">
  <ds:schemaRefs>
    <ds:schemaRef ds:uri="http://schemas.microsoft.com/office/2006/metadata/properties"/>
    <ds:schemaRef ds:uri="http://schemas.microsoft.com/office/infopath/2007/PartnerControls"/>
    <ds:schemaRef ds:uri="f9fff812-fb3b-4077-80ad-6f96a082549d"/>
  </ds:schemaRefs>
</ds:datastoreItem>
</file>

<file path=customXml/itemProps3.xml><?xml version="1.0" encoding="utf-8"?>
<ds:datastoreItem xmlns:ds="http://schemas.openxmlformats.org/officeDocument/2006/customXml" ds:itemID="{E4C4551A-04A2-4593-9579-0D8C0DDE5A2C}">
  <ds:schemaRefs>
    <ds:schemaRef ds:uri="http://schemas.microsoft.com/PowerBIAddIn"/>
  </ds:schemaRefs>
</ds:datastoreItem>
</file>

<file path=customXml/itemProps4.xml><?xml version="1.0" encoding="utf-8"?>
<ds:datastoreItem xmlns:ds="http://schemas.openxmlformats.org/officeDocument/2006/customXml" ds:itemID="{80D4D282-BE47-4E3A-B442-BED25B4510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ff812-fb3b-4077-80ad-6f96a082549d"/>
    <ds:schemaRef ds:uri="54035f38-61e2-4bce-93cc-23d79b3f2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Model Guide</vt:lpstr>
      <vt:lpstr>Glossary</vt:lpstr>
      <vt:lpstr>Check Summary</vt:lpstr>
      <vt:lpstr>Name labels</vt:lpstr>
      <vt:lpstr>Inputs &gt;</vt:lpstr>
      <vt:lpstr>Target Revenue</vt:lpstr>
      <vt:lpstr>Allocator Data</vt:lpstr>
      <vt:lpstr>Asset Mapping</vt:lpstr>
      <vt:lpstr>Calculations &gt;</vt:lpstr>
      <vt:lpstr>Pricing Area Allocations</vt:lpstr>
      <vt:lpstr>RAB Allocations</vt:lpstr>
      <vt:lpstr>RAB - Depreciation Allocations</vt:lpstr>
      <vt:lpstr>Load Group Allocations</vt:lpstr>
      <vt:lpstr>Outputs &gt;</vt:lpstr>
      <vt:lpstr>Rev - Pricing Area &amp; Cust Group</vt:lpstr>
      <vt:lpstr>Pricing Methodology Tables</vt:lpstr>
      <vt:lpstr>'Pricing Methodology Tables'!_ftn1</vt:lpstr>
      <vt:lpstr>'Pricing Methodology Tables'!_Ref66367207</vt:lpstr>
      <vt:lpstr>'Pricing Methodology Tables'!_Ref66367752</vt:lpstr>
      <vt:lpstr>'Pricing Methodology Tables'!_Ref66367811</vt:lpstr>
      <vt:lpstr>'Pricing Methodology Tables'!_Ref66368152</vt:lpstr>
      <vt:lpstr>'Allocator Data'!Print_Area</vt:lpstr>
      <vt:lpstr>'Asset Mapping'!Print_Area</vt:lpstr>
      <vt:lpstr>'Check Summary'!Print_Area</vt:lpstr>
      <vt:lpstr>Glossary!Print_Area</vt:lpstr>
      <vt:lpstr>'Inputs &gt;'!Print_Area</vt:lpstr>
      <vt:lpstr>'Model Guide'!Print_Area</vt:lpstr>
      <vt:lpstr>'Name labels'!Print_Area</vt:lpstr>
      <vt:lpstr>'Target Revenue'!Print_Area</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Campbell J Will</dc:creator>
  <cp:keywords/>
  <dc:description/>
  <cp:lastModifiedBy>Terri Sinclair</cp:lastModifiedBy>
  <cp:revision/>
  <cp:lastPrinted>2022-03-09T21:22:45Z</cp:lastPrinted>
  <dcterms:created xsi:type="dcterms:W3CDTF">2006-09-16T00:00:00Z</dcterms:created>
  <dcterms:modified xsi:type="dcterms:W3CDTF">2023-02-27T23:26:04Z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randFormat">
    <vt:lpwstr>1.0</vt:lpwstr>
  </property>
  <property fmtid="{D5CDD505-2E9C-101B-9397-08002B2CF9AE}" pid="3" name="ContentTypeId">
    <vt:lpwstr>0x010100C8D1C6E9BDD0C248A5123B98F7A7EF73</vt:lpwstr>
  </property>
</Properties>
</file>